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-dh.slu.se\home$\anck0001\My Documents\AK\Elfiske\VIX\BeräkningExcel\"/>
    </mc:Choice>
  </mc:AlternateContent>
  <bookViews>
    <workbookView xWindow="0" yWindow="0" windowWidth="10890" windowHeight="5430"/>
  </bookViews>
  <sheets>
    <sheet name="Information" sheetId="4" r:id="rId1"/>
    <sheet name="Metadata" sheetId="2" r:id="rId2"/>
    <sheet name="Fångster" sheetId="3" r:id="rId3"/>
    <sheet name="VIX" sheetId="8" r:id="rId4"/>
    <sheet name="VIXmod1" sheetId="5" state="hidden" r:id="rId5"/>
    <sheet name="VIXmod2" sheetId="6" state="hidden" r:id="rId6"/>
    <sheet name="VIXmorf" sheetId="7" state="hidden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AC24" i="3" l="1"/>
  <c r="C8" i="6" l="1"/>
  <c r="D8" i="6"/>
  <c r="C9" i="6"/>
  <c r="D9" i="6"/>
  <c r="C10" i="6"/>
  <c r="D10" i="6"/>
  <c r="C11" i="6"/>
  <c r="D11" i="6"/>
  <c r="C12" i="6"/>
  <c r="D12" i="6"/>
  <c r="C13" i="6"/>
  <c r="D13" i="6"/>
  <c r="O13" i="6" s="1"/>
  <c r="C14" i="6"/>
  <c r="E14" i="6" s="1"/>
  <c r="D14" i="6"/>
  <c r="O14" i="6" s="1"/>
  <c r="C15" i="6"/>
  <c r="N15" i="6" s="1"/>
  <c r="D15" i="6"/>
  <c r="C16" i="6"/>
  <c r="D16" i="6"/>
  <c r="C17" i="6"/>
  <c r="D17" i="6"/>
  <c r="C18" i="6"/>
  <c r="D18" i="6"/>
  <c r="C19" i="6"/>
  <c r="D19" i="6"/>
  <c r="C20" i="6"/>
  <c r="D20" i="6"/>
  <c r="C21" i="6"/>
  <c r="E21" i="6" s="1"/>
  <c r="D21" i="6"/>
  <c r="C22" i="6"/>
  <c r="D22" i="6"/>
  <c r="O22" i="6" s="1"/>
  <c r="C23" i="6"/>
  <c r="N23" i="6" s="1"/>
  <c r="D23" i="6"/>
  <c r="C24" i="6"/>
  <c r="D24" i="6"/>
  <c r="C25" i="6"/>
  <c r="D25" i="6"/>
  <c r="C26" i="6"/>
  <c r="D26" i="6"/>
  <c r="C27" i="6"/>
  <c r="D27" i="6"/>
  <c r="O27" i="6" s="1"/>
  <c r="C28" i="6"/>
  <c r="D28" i="6"/>
  <c r="C29" i="6"/>
  <c r="D29" i="6"/>
  <c r="C30" i="6"/>
  <c r="N30" i="6" s="1"/>
  <c r="D30" i="6"/>
  <c r="O30" i="6" s="1"/>
  <c r="C31" i="6"/>
  <c r="N31" i="6" s="1"/>
  <c r="D31" i="6"/>
  <c r="O31" i="6" s="1"/>
  <c r="C32" i="6"/>
  <c r="D32" i="6"/>
  <c r="C33" i="6"/>
  <c r="E33" i="6" s="1"/>
  <c r="D33" i="6"/>
  <c r="O33" i="6" s="1"/>
  <c r="C34" i="6"/>
  <c r="D34" i="6"/>
  <c r="C35" i="6"/>
  <c r="D35" i="6"/>
  <c r="C36" i="6"/>
  <c r="N36" i="6" s="1"/>
  <c r="R36" i="6" s="1"/>
  <c r="D36" i="6"/>
  <c r="C37" i="6"/>
  <c r="D37" i="6"/>
  <c r="O37" i="6" s="1"/>
  <c r="C38" i="6"/>
  <c r="N38" i="6" s="1"/>
  <c r="D38" i="6"/>
  <c r="O38" i="6" s="1"/>
  <c r="C39" i="6"/>
  <c r="N39" i="6" s="1"/>
  <c r="D39" i="6"/>
  <c r="O39" i="6" s="1"/>
  <c r="C40" i="6"/>
  <c r="D40" i="6"/>
  <c r="C41" i="6"/>
  <c r="N41" i="6" s="1"/>
  <c r="D41" i="6"/>
  <c r="C42" i="6"/>
  <c r="D42" i="6"/>
  <c r="C43" i="6"/>
  <c r="D43" i="6"/>
  <c r="C44" i="6"/>
  <c r="D44" i="6"/>
  <c r="O44" i="6" s="1"/>
  <c r="C45" i="6"/>
  <c r="D45" i="6"/>
  <c r="O45" i="6" s="1"/>
  <c r="C46" i="6"/>
  <c r="N46" i="6" s="1"/>
  <c r="D46" i="6"/>
  <c r="O46" i="6" s="1"/>
  <c r="C47" i="6"/>
  <c r="N47" i="6" s="1"/>
  <c r="D47" i="6"/>
  <c r="O47" i="6" s="1"/>
  <c r="C48" i="6"/>
  <c r="D48" i="6"/>
  <c r="C49" i="6"/>
  <c r="D49" i="6"/>
  <c r="C50" i="6"/>
  <c r="D50" i="6"/>
  <c r="C51" i="6"/>
  <c r="D51" i="6"/>
  <c r="C52" i="6"/>
  <c r="N52" i="6" s="1"/>
  <c r="D52" i="6"/>
  <c r="O52" i="6" s="1"/>
  <c r="C53" i="6"/>
  <c r="E53" i="6" s="1"/>
  <c r="D53" i="6"/>
  <c r="O53" i="6" s="1"/>
  <c r="C54" i="6"/>
  <c r="N54" i="6" s="1"/>
  <c r="D54" i="6"/>
  <c r="O54" i="6" s="1"/>
  <c r="C55" i="6"/>
  <c r="N55" i="6" s="1"/>
  <c r="D55" i="6"/>
  <c r="O55" i="6" s="1"/>
  <c r="C56" i="6"/>
  <c r="D56" i="6"/>
  <c r="C57" i="6"/>
  <c r="N57" i="6" s="1"/>
  <c r="D57" i="6"/>
  <c r="O57" i="6" s="1"/>
  <c r="C58" i="6"/>
  <c r="D58" i="6"/>
  <c r="C59" i="6"/>
  <c r="E59" i="6" s="1"/>
  <c r="D59" i="6"/>
  <c r="N21" i="6"/>
  <c r="O21" i="6"/>
  <c r="R21" i="6" s="1"/>
  <c r="E22" i="6"/>
  <c r="O36" i="6"/>
  <c r="E44" i="6"/>
  <c r="N45" i="6"/>
  <c r="N49" i="6"/>
  <c r="N58" i="6"/>
  <c r="D7" i="6"/>
  <c r="C7" i="6"/>
  <c r="E7" i="6" s="1"/>
  <c r="O59" i="6"/>
  <c r="N59" i="6"/>
  <c r="O58" i="6"/>
  <c r="O56" i="6"/>
  <c r="N56" i="6"/>
  <c r="E56" i="6"/>
  <c r="O51" i="6"/>
  <c r="N51" i="6"/>
  <c r="E51" i="6"/>
  <c r="O50" i="6"/>
  <c r="N50" i="6"/>
  <c r="E50" i="6"/>
  <c r="O49" i="6"/>
  <c r="E49" i="6"/>
  <c r="O48" i="6"/>
  <c r="N48" i="6"/>
  <c r="E48" i="6"/>
  <c r="N44" i="6"/>
  <c r="Q43" i="6"/>
  <c r="O43" i="6"/>
  <c r="N43" i="6"/>
  <c r="R43" i="6" s="1"/>
  <c r="E43" i="6"/>
  <c r="O42" i="6"/>
  <c r="N42" i="6"/>
  <c r="R42" i="6" s="1"/>
  <c r="E42" i="6"/>
  <c r="O41" i="6"/>
  <c r="O40" i="6"/>
  <c r="N40" i="6"/>
  <c r="E40" i="6"/>
  <c r="X38" i="6"/>
  <c r="N37" i="6"/>
  <c r="AC36" i="6"/>
  <c r="AC37" i="6" s="1"/>
  <c r="AC46" i="6" s="1"/>
  <c r="X36" i="6"/>
  <c r="O35" i="6"/>
  <c r="N35" i="6"/>
  <c r="M35" i="6"/>
  <c r="L35" i="6"/>
  <c r="K35" i="6"/>
  <c r="J35" i="6"/>
  <c r="AC34" i="6"/>
  <c r="AC35" i="6" s="1"/>
  <c r="AC45" i="6" s="1"/>
  <c r="O34" i="6"/>
  <c r="N34" i="6"/>
  <c r="M34" i="6"/>
  <c r="L34" i="6"/>
  <c r="K34" i="6"/>
  <c r="J34" i="6"/>
  <c r="E34" i="6"/>
  <c r="N33" i="6"/>
  <c r="M33" i="6"/>
  <c r="L33" i="6"/>
  <c r="K33" i="6"/>
  <c r="J33" i="6"/>
  <c r="O32" i="6"/>
  <c r="N32" i="6"/>
  <c r="E32" i="6"/>
  <c r="AC31" i="6"/>
  <c r="AC32" i="6" s="1"/>
  <c r="AC33" i="6" s="1"/>
  <c r="AC44" i="6" s="1"/>
  <c r="AC29" i="6"/>
  <c r="AC30" i="6" s="1"/>
  <c r="O29" i="6"/>
  <c r="N29" i="6"/>
  <c r="E29" i="6"/>
  <c r="O28" i="6"/>
  <c r="R28" i="6" s="1"/>
  <c r="N28" i="6"/>
  <c r="E28" i="6"/>
  <c r="Q27" i="6"/>
  <c r="N27" i="6"/>
  <c r="E27" i="6"/>
  <c r="AC26" i="6"/>
  <c r="AC27" i="6" s="1"/>
  <c r="AC28" i="6" s="1"/>
  <c r="AC42" i="6" s="1"/>
  <c r="O26" i="6"/>
  <c r="N26" i="6"/>
  <c r="E26" i="6"/>
  <c r="O25" i="6"/>
  <c r="N25" i="6"/>
  <c r="E25" i="6"/>
  <c r="AC24" i="6"/>
  <c r="O24" i="6"/>
  <c r="N24" i="6"/>
  <c r="E24" i="6"/>
  <c r="O23" i="6"/>
  <c r="N22" i="6"/>
  <c r="AC21" i="6"/>
  <c r="AC20" i="6"/>
  <c r="O20" i="6"/>
  <c r="N20" i="6"/>
  <c r="E20" i="6"/>
  <c r="O19" i="6"/>
  <c r="N19" i="6"/>
  <c r="R19" i="6" s="1"/>
  <c r="M19" i="6" s="1"/>
  <c r="E19" i="6"/>
  <c r="O18" i="6"/>
  <c r="N18" i="6"/>
  <c r="E18" i="6"/>
  <c r="AC17" i="6"/>
  <c r="AC18" i="6" s="1"/>
  <c r="AC19" i="6" s="1"/>
  <c r="O17" i="6"/>
  <c r="N17" i="6"/>
  <c r="R17" i="6" s="1"/>
  <c r="E17" i="6"/>
  <c r="O16" i="6"/>
  <c r="N16" i="6"/>
  <c r="E16" i="6"/>
  <c r="AC14" i="6"/>
  <c r="AC15" i="6" s="1"/>
  <c r="AC16" i="6" s="1"/>
  <c r="N14" i="6"/>
  <c r="N13" i="6"/>
  <c r="E13" i="6"/>
  <c r="O12" i="6"/>
  <c r="N12" i="6"/>
  <c r="E12" i="6"/>
  <c r="Q11" i="6"/>
  <c r="O11" i="6"/>
  <c r="N11" i="6"/>
  <c r="E11" i="6"/>
  <c r="O10" i="6"/>
  <c r="N10" i="6"/>
  <c r="E10" i="6"/>
  <c r="O9" i="6"/>
  <c r="N9" i="6"/>
  <c r="E9" i="6"/>
  <c r="O8" i="6"/>
  <c r="N8" i="6"/>
  <c r="E8" i="6"/>
  <c r="Q7" i="6"/>
  <c r="O7" i="6"/>
  <c r="N7" i="6"/>
  <c r="X6" i="6"/>
  <c r="D62" i="6" s="1"/>
  <c r="O62" i="6" s="1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N14" i="5" s="1"/>
  <c r="D14" i="5"/>
  <c r="O14" i="5" s="1"/>
  <c r="C15" i="5"/>
  <c r="N15" i="5" s="1"/>
  <c r="R15" i="5" s="1"/>
  <c r="D15" i="5"/>
  <c r="O15" i="5" s="1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N22" i="5" s="1"/>
  <c r="D22" i="5"/>
  <c r="O22" i="5" s="1"/>
  <c r="C23" i="5"/>
  <c r="N23" i="5" s="1"/>
  <c r="D23" i="5"/>
  <c r="O23" i="5" s="1"/>
  <c r="C24" i="5"/>
  <c r="D24" i="5"/>
  <c r="C25" i="5"/>
  <c r="D25" i="5"/>
  <c r="C26" i="5"/>
  <c r="D26" i="5"/>
  <c r="C27" i="5"/>
  <c r="D27" i="5"/>
  <c r="C28" i="5"/>
  <c r="E28" i="5" s="1"/>
  <c r="D28" i="5"/>
  <c r="C29" i="5"/>
  <c r="D29" i="5"/>
  <c r="C30" i="5"/>
  <c r="N30" i="5" s="1"/>
  <c r="D30" i="5"/>
  <c r="O30" i="5" s="1"/>
  <c r="C31" i="5"/>
  <c r="N31" i="5" s="1"/>
  <c r="D31" i="5"/>
  <c r="O31" i="5" s="1"/>
  <c r="C32" i="5"/>
  <c r="D32" i="5"/>
  <c r="C33" i="5"/>
  <c r="D33" i="5"/>
  <c r="C34" i="5"/>
  <c r="D34" i="5"/>
  <c r="C35" i="5"/>
  <c r="D35" i="5"/>
  <c r="C36" i="5"/>
  <c r="N36" i="5" s="1"/>
  <c r="D36" i="5"/>
  <c r="O36" i="5" s="1"/>
  <c r="C37" i="5"/>
  <c r="N37" i="5" s="1"/>
  <c r="D37" i="5"/>
  <c r="O37" i="5" s="1"/>
  <c r="C38" i="5"/>
  <c r="D38" i="5"/>
  <c r="C39" i="5"/>
  <c r="N39" i="5" s="1"/>
  <c r="D39" i="5"/>
  <c r="O39" i="5" s="1"/>
  <c r="C40" i="5"/>
  <c r="D40" i="5"/>
  <c r="C41" i="5"/>
  <c r="N41" i="5" s="1"/>
  <c r="R41" i="5" s="1"/>
  <c r="D41" i="5"/>
  <c r="C42" i="5"/>
  <c r="D42" i="5"/>
  <c r="C43" i="5"/>
  <c r="D43" i="5"/>
  <c r="C44" i="5"/>
  <c r="D44" i="5"/>
  <c r="E44" i="5" s="1"/>
  <c r="C45" i="5"/>
  <c r="N45" i="5" s="1"/>
  <c r="R45" i="5" s="1"/>
  <c r="M45" i="5" s="1"/>
  <c r="D45" i="5"/>
  <c r="C46" i="5"/>
  <c r="D46" i="5"/>
  <c r="O46" i="5" s="1"/>
  <c r="C47" i="5"/>
  <c r="N47" i="5" s="1"/>
  <c r="D47" i="5"/>
  <c r="O47" i="5" s="1"/>
  <c r="C48" i="5"/>
  <c r="D48" i="5"/>
  <c r="C49" i="5"/>
  <c r="N49" i="5" s="1"/>
  <c r="R49" i="5" s="1"/>
  <c r="D49" i="5"/>
  <c r="C50" i="5"/>
  <c r="D50" i="5"/>
  <c r="C51" i="5"/>
  <c r="D51" i="5"/>
  <c r="O51" i="5" s="1"/>
  <c r="C52" i="5"/>
  <c r="E52" i="5" s="1"/>
  <c r="D52" i="5"/>
  <c r="C53" i="5"/>
  <c r="E53" i="5" s="1"/>
  <c r="D53" i="5"/>
  <c r="C54" i="5"/>
  <c r="N54" i="5" s="1"/>
  <c r="R54" i="5" s="1"/>
  <c r="D54" i="5"/>
  <c r="O54" i="5" s="1"/>
  <c r="C55" i="5"/>
  <c r="N55" i="5" s="1"/>
  <c r="D55" i="5"/>
  <c r="O55" i="5" s="1"/>
  <c r="C56" i="5"/>
  <c r="D56" i="5"/>
  <c r="C57" i="5"/>
  <c r="N57" i="5" s="1"/>
  <c r="D57" i="5"/>
  <c r="O57" i="5" s="1"/>
  <c r="R57" i="5" s="1"/>
  <c r="C58" i="5"/>
  <c r="D58" i="5"/>
  <c r="C59" i="5"/>
  <c r="E59" i="5" s="1"/>
  <c r="D59" i="5"/>
  <c r="D7" i="5"/>
  <c r="C7" i="5"/>
  <c r="O59" i="5"/>
  <c r="N59" i="5"/>
  <c r="R59" i="5" s="1"/>
  <c r="O58" i="5"/>
  <c r="N58" i="5"/>
  <c r="R58" i="5" s="1"/>
  <c r="E58" i="5"/>
  <c r="O56" i="5"/>
  <c r="N56" i="5"/>
  <c r="R56" i="5" s="1"/>
  <c r="E56" i="5"/>
  <c r="O53" i="5"/>
  <c r="N53" i="5"/>
  <c r="R53" i="5" s="1"/>
  <c r="O52" i="5"/>
  <c r="N52" i="5"/>
  <c r="R52" i="5" s="1"/>
  <c r="N51" i="5"/>
  <c r="E51" i="5"/>
  <c r="O50" i="5"/>
  <c r="N50" i="5"/>
  <c r="R50" i="5" s="1"/>
  <c r="E50" i="5"/>
  <c r="O49" i="5"/>
  <c r="E49" i="5"/>
  <c r="O48" i="5"/>
  <c r="N48" i="5"/>
  <c r="R48" i="5" s="1"/>
  <c r="E48" i="5"/>
  <c r="N46" i="5"/>
  <c r="E46" i="5"/>
  <c r="O45" i="5"/>
  <c r="O44" i="5"/>
  <c r="R44" i="5" s="1"/>
  <c r="N44" i="5"/>
  <c r="Q43" i="5"/>
  <c r="O43" i="5"/>
  <c r="N43" i="5"/>
  <c r="R43" i="5" s="1"/>
  <c r="E43" i="5"/>
  <c r="O42" i="5"/>
  <c r="N42" i="5"/>
  <c r="R42" i="5" s="1"/>
  <c r="E42" i="5"/>
  <c r="O41" i="5"/>
  <c r="O40" i="5"/>
  <c r="R40" i="5" s="1"/>
  <c r="M40" i="5" s="1"/>
  <c r="N40" i="5"/>
  <c r="E40" i="5"/>
  <c r="X38" i="5"/>
  <c r="O38" i="5"/>
  <c r="N38" i="5"/>
  <c r="R38" i="5" s="1"/>
  <c r="E38" i="5"/>
  <c r="AC36" i="5"/>
  <c r="AC37" i="5" s="1"/>
  <c r="AC46" i="5" s="1"/>
  <c r="X36" i="5"/>
  <c r="E36" i="5"/>
  <c r="O35" i="5"/>
  <c r="N35" i="5"/>
  <c r="M35" i="5"/>
  <c r="L35" i="5"/>
  <c r="K35" i="5"/>
  <c r="J35" i="5"/>
  <c r="AC34" i="5"/>
  <c r="AC35" i="5" s="1"/>
  <c r="O34" i="5"/>
  <c r="N34" i="5"/>
  <c r="M34" i="5"/>
  <c r="L34" i="5"/>
  <c r="K34" i="5"/>
  <c r="J34" i="5"/>
  <c r="E34" i="5"/>
  <c r="O33" i="5"/>
  <c r="N33" i="5"/>
  <c r="M33" i="5"/>
  <c r="L33" i="5"/>
  <c r="K33" i="5"/>
  <c r="J33" i="5"/>
  <c r="E33" i="5"/>
  <c r="O32" i="5"/>
  <c r="R32" i="5" s="1"/>
  <c r="N32" i="5"/>
  <c r="E32" i="5"/>
  <c r="AC31" i="5"/>
  <c r="AC32" i="5" s="1"/>
  <c r="AC33" i="5" s="1"/>
  <c r="AC44" i="5" s="1"/>
  <c r="AC29" i="5"/>
  <c r="AC30" i="5" s="1"/>
  <c r="AC43" i="5" s="1"/>
  <c r="O29" i="5"/>
  <c r="N29" i="5"/>
  <c r="R29" i="5" s="1"/>
  <c r="E29" i="5"/>
  <c r="O28" i="5"/>
  <c r="N28" i="5"/>
  <c r="R28" i="5" s="1"/>
  <c r="Q27" i="5"/>
  <c r="O27" i="5"/>
  <c r="N27" i="5"/>
  <c r="E27" i="5"/>
  <c r="AC26" i="5"/>
  <c r="AC27" i="5" s="1"/>
  <c r="AC28" i="5" s="1"/>
  <c r="AC42" i="5" s="1"/>
  <c r="O26" i="5"/>
  <c r="N26" i="5"/>
  <c r="R26" i="5" s="1"/>
  <c r="E26" i="5"/>
  <c r="O25" i="5"/>
  <c r="N25" i="5"/>
  <c r="R25" i="5" s="1"/>
  <c r="E25" i="5"/>
  <c r="AC24" i="5"/>
  <c r="O24" i="5"/>
  <c r="N24" i="5"/>
  <c r="E24" i="5"/>
  <c r="AC21" i="5"/>
  <c r="O21" i="5"/>
  <c r="N21" i="5"/>
  <c r="R21" i="5" s="1"/>
  <c r="E21" i="5"/>
  <c r="AC20" i="5"/>
  <c r="O20" i="5"/>
  <c r="N20" i="5"/>
  <c r="R20" i="5" s="1"/>
  <c r="E20" i="5"/>
  <c r="O19" i="5"/>
  <c r="N19" i="5"/>
  <c r="R19" i="5" s="1"/>
  <c r="M19" i="5" s="1"/>
  <c r="E19" i="5"/>
  <c r="O18" i="5"/>
  <c r="N18" i="5"/>
  <c r="R18" i="5" s="1"/>
  <c r="E18" i="5"/>
  <c r="AC17" i="5"/>
  <c r="AC18" i="5" s="1"/>
  <c r="AC19" i="5" s="1"/>
  <c r="AC39" i="5" s="1"/>
  <c r="O17" i="5"/>
  <c r="N17" i="5"/>
  <c r="R17" i="5" s="1"/>
  <c r="E17" i="5"/>
  <c r="O16" i="5"/>
  <c r="N16" i="5"/>
  <c r="R16" i="5" s="1"/>
  <c r="E16" i="5"/>
  <c r="AC14" i="5"/>
  <c r="AC15" i="5" s="1"/>
  <c r="AC16" i="5" s="1"/>
  <c r="O13" i="5"/>
  <c r="N13" i="5"/>
  <c r="R13" i="5" s="1"/>
  <c r="E13" i="5"/>
  <c r="O12" i="5"/>
  <c r="R12" i="5" s="1"/>
  <c r="N12" i="5"/>
  <c r="E12" i="5"/>
  <c r="Q11" i="5"/>
  <c r="O11" i="5"/>
  <c r="R11" i="5" s="1"/>
  <c r="N11" i="5"/>
  <c r="E11" i="5"/>
  <c r="O10" i="5"/>
  <c r="N10" i="5"/>
  <c r="R10" i="5" s="1"/>
  <c r="E10" i="5"/>
  <c r="O9" i="5"/>
  <c r="N9" i="5"/>
  <c r="R9" i="5" s="1"/>
  <c r="E9" i="5"/>
  <c r="O8" i="5"/>
  <c r="N8" i="5"/>
  <c r="R8" i="5" s="1"/>
  <c r="E8" i="5"/>
  <c r="Q7" i="5"/>
  <c r="Q60" i="5" s="1"/>
  <c r="O7" i="5"/>
  <c r="N7" i="5"/>
  <c r="E7" i="5"/>
  <c r="X6" i="5"/>
  <c r="D62" i="5" s="1"/>
  <c r="O62" i="5" s="1"/>
  <c r="R14" i="5" l="1"/>
  <c r="AC22" i="5"/>
  <c r="AC23" i="5" s="1"/>
  <c r="AC25" i="6"/>
  <c r="AC41" i="6" s="1"/>
  <c r="AC25" i="5"/>
  <c r="AC41" i="5" s="1"/>
  <c r="AC13" i="6"/>
  <c r="AC22" i="6"/>
  <c r="AC23" i="6" s="1"/>
  <c r="AC40" i="6" s="1"/>
  <c r="AC13" i="5"/>
  <c r="E15" i="6"/>
  <c r="R18" i="6"/>
  <c r="E37" i="6"/>
  <c r="E38" i="6"/>
  <c r="R44" i="6"/>
  <c r="N53" i="6"/>
  <c r="R53" i="6" s="1"/>
  <c r="R20" i="6"/>
  <c r="K20" i="6" s="1"/>
  <c r="R40" i="6"/>
  <c r="M40" i="6" s="1"/>
  <c r="R56" i="6"/>
  <c r="R49" i="6"/>
  <c r="M49" i="6" s="1"/>
  <c r="E41" i="6"/>
  <c r="R9" i="6"/>
  <c r="K9" i="6" s="1"/>
  <c r="R52" i="6"/>
  <c r="J52" i="6" s="1"/>
  <c r="R41" i="6"/>
  <c r="M41" i="6" s="1"/>
  <c r="R57" i="6"/>
  <c r="M57" i="6" s="1"/>
  <c r="R23" i="6"/>
  <c r="M23" i="6" s="1"/>
  <c r="R46" i="6"/>
  <c r="K46" i="6" s="1"/>
  <c r="R45" i="6"/>
  <c r="M45" i="6" s="1"/>
  <c r="R24" i="6"/>
  <c r="R58" i="6"/>
  <c r="M58" i="6" s="1"/>
  <c r="R8" i="6"/>
  <c r="J8" i="6" s="1"/>
  <c r="R30" i="6"/>
  <c r="L30" i="6" s="1"/>
  <c r="R55" i="6"/>
  <c r="M55" i="6" s="1"/>
  <c r="R47" i="6"/>
  <c r="M47" i="6" s="1"/>
  <c r="K36" i="6"/>
  <c r="M36" i="6"/>
  <c r="L36" i="6"/>
  <c r="J36" i="6"/>
  <c r="M53" i="6"/>
  <c r="L53" i="6"/>
  <c r="K53" i="6"/>
  <c r="J53" i="6"/>
  <c r="R13" i="6"/>
  <c r="R31" i="6"/>
  <c r="L31" i="6" s="1"/>
  <c r="R14" i="6"/>
  <c r="M14" i="6" s="1"/>
  <c r="R39" i="6"/>
  <c r="K39" i="6" s="1"/>
  <c r="R32" i="6"/>
  <c r="M32" i="6" s="1"/>
  <c r="Q60" i="6"/>
  <c r="R12" i="6"/>
  <c r="L12" i="6" s="1"/>
  <c r="O15" i="6"/>
  <c r="R15" i="6" s="1"/>
  <c r="E46" i="6"/>
  <c r="R50" i="6"/>
  <c r="K50" i="6" s="1"/>
  <c r="R54" i="6"/>
  <c r="J54" i="6" s="1"/>
  <c r="R37" i="6"/>
  <c r="J37" i="6" s="1"/>
  <c r="E55" i="6"/>
  <c r="R16" i="6"/>
  <c r="J16" i="6" s="1"/>
  <c r="R25" i="6"/>
  <c r="L25" i="6" s="1"/>
  <c r="R29" i="6"/>
  <c r="J29" i="6" s="1"/>
  <c r="E47" i="6"/>
  <c r="R51" i="6"/>
  <c r="R38" i="6"/>
  <c r="L38" i="6" s="1"/>
  <c r="E52" i="6"/>
  <c r="E30" i="6"/>
  <c r="R26" i="6"/>
  <c r="M26" i="6" s="1"/>
  <c r="E36" i="6"/>
  <c r="E39" i="6"/>
  <c r="R48" i="6"/>
  <c r="M48" i="6" s="1"/>
  <c r="R10" i="6"/>
  <c r="J10" i="6" s="1"/>
  <c r="R22" i="6"/>
  <c r="M22" i="6" s="1"/>
  <c r="E31" i="6"/>
  <c r="E23" i="6"/>
  <c r="R27" i="6"/>
  <c r="E45" i="6"/>
  <c r="E58" i="6"/>
  <c r="R11" i="6"/>
  <c r="M11" i="6" s="1"/>
  <c r="R7" i="6"/>
  <c r="K7" i="6" s="1"/>
  <c r="M51" i="6"/>
  <c r="L51" i="6"/>
  <c r="K51" i="6"/>
  <c r="J51" i="6"/>
  <c r="AC43" i="6"/>
  <c r="AF12" i="6"/>
  <c r="AL18" i="6" s="1"/>
  <c r="K17" i="6"/>
  <c r="J17" i="6"/>
  <c r="L17" i="6"/>
  <c r="M17" i="6"/>
  <c r="M21" i="6"/>
  <c r="L21" i="6"/>
  <c r="K21" i="6"/>
  <c r="J21" i="6"/>
  <c r="AF9" i="6"/>
  <c r="AL17" i="6" s="1"/>
  <c r="L52" i="6"/>
  <c r="K16" i="6"/>
  <c r="L16" i="6"/>
  <c r="M16" i="6"/>
  <c r="M30" i="6"/>
  <c r="J30" i="6"/>
  <c r="K30" i="6"/>
  <c r="M56" i="6"/>
  <c r="L56" i="6"/>
  <c r="K56" i="6"/>
  <c r="J56" i="6"/>
  <c r="AC39" i="6"/>
  <c r="AF24" i="6" s="1"/>
  <c r="AL24" i="6" s="1"/>
  <c r="M28" i="6"/>
  <c r="L28" i="6"/>
  <c r="K28" i="6"/>
  <c r="J28" i="6"/>
  <c r="K43" i="6"/>
  <c r="P43" i="6"/>
  <c r="M43" i="6"/>
  <c r="L43" i="6"/>
  <c r="J43" i="6"/>
  <c r="K44" i="6"/>
  <c r="J44" i="6"/>
  <c r="L44" i="6"/>
  <c r="M44" i="6"/>
  <c r="M46" i="6"/>
  <c r="L46" i="6"/>
  <c r="J46" i="6"/>
  <c r="M18" i="6"/>
  <c r="L18" i="6"/>
  <c r="J18" i="6"/>
  <c r="K18" i="6"/>
  <c r="J31" i="6"/>
  <c r="M31" i="6"/>
  <c r="M20" i="6"/>
  <c r="L20" i="6"/>
  <c r="M42" i="6"/>
  <c r="L42" i="6"/>
  <c r="K42" i="6"/>
  <c r="J42" i="6"/>
  <c r="P27" i="6"/>
  <c r="M27" i="6"/>
  <c r="L27" i="6"/>
  <c r="K27" i="6"/>
  <c r="J27" i="6"/>
  <c r="AC38" i="6"/>
  <c r="AF36" i="6"/>
  <c r="AL29" i="6" s="1"/>
  <c r="L58" i="6"/>
  <c r="K58" i="6"/>
  <c r="J58" i="6"/>
  <c r="L7" i="6"/>
  <c r="K24" i="6"/>
  <c r="J24" i="6"/>
  <c r="M24" i="6"/>
  <c r="L24" i="6"/>
  <c r="J41" i="6"/>
  <c r="M59" i="6"/>
  <c r="L59" i="6"/>
  <c r="K59" i="6"/>
  <c r="J59" i="6"/>
  <c r="J50" i="6"/>
  <c r="L50" i="6"/>
  <c r="C61" i="6"/>
  <c r="N61" i="6" s="1"/>
  <c r="D61" i="6"/>
  <c r="O61" i="6" s="1"/>
  <c r="C63" i="6"/>
  <c r="N63" i="6" s="1"/>
  <c r="D63" i="6"/>
  <c r="O63" i="6" s="1"/>
  <c r="AR17" i="6"/>
  <c r="J19" i="6"/>
  <c r="J40" i="6"/>
  <c r="J45" i="6"/>
  <c r="J55" i="6"/>
  <c r="K19" i="6"/>
  <c r="K45" i="6"/>
  <c r="K55" i="6"/>
  <c r="L40" i="6"/>
  <c r="L45" i="6"/>
  <c r="L55" i="6"/>
  <c r="L19" i="6"/>
  <c r="C62" i="6"/>
  <c r="N62" i="6" s="1"/>
  <c r="R62" i="6" s="1"/>
  <c r="R31" i="5"/>
  <c r="R22" i="5"/>
  <c r="R55" i="5"/>
  <c r="M55" i="5" s="1"/>
  <c r="K50" i="5"/>
  <c r="M50" i="5"/>
  <c r="L50" i="5"/>
  <c r="R39" i="5"/>
  <c r="R37" i="5"/>
  <c r="K37" i="5" s="1"/>
  <c r="R47" i="5"/>
  <c r="M13" i="5"/>
  <c r="L13" i="5"/>
  <c r="K13" i="5"/>
  <c r="K44" i="5"/>
  <c r="M44" i="5"/>
  <c r="L44" i="5"/>
  <c r="M53" i="5"/>
  <c r="J53" i="5"/>
  <c r="L53" i="5"/>
  <c r="K53" i="5"/>
  <c r="R36" i="5"/>
  <c r="M49" i="5"/>
  <c r="L49" i="5"/>
  <c r="K49" i="5"/>
  <c r="J49" i="5"/>
  <c r="R23" i="5"/>
  <c r="L23" i="5" s="1"/>
  <c r="R30" i="5"/>
  <c r="K30" i="5" s="1"/>
  <c r="R46" i="5"/>
  <c r="L46" i="5" s="1"/>
  <c r="E47" i="5"/>
  <c r="E39" i="5"/>
  <c r="E30" i="5"/>
  <c r="E55" i="5"/>
  <c r="E14" i="5"/>
  <c r="E22" i="5"/>
  <c r="R51" i="5"/>
  <c r="E31" i="5"/>
  <c r="E23" i="5"/>
  <c r="R27" i="5"/>
  <c r="L27" i="5" s="1"/>
  <c r="E37" i="5"/>
  <c r="E15" i="5"/>
  <c r="E41" i="5"/>
  <c r="E45" i="5"/>
  <c r="R24" i="5"/>
  <c r="K24" i="5" s="1"/>
  <c r="R7" i="5"/>
  <c r="M7" i="5" s="1"/>
  <c r="L47" i="5"/>
  <c r="M47" i="5"/>
  <c r="K47" i="5"/>
  <c r="J47" i="5"/>
  <c r="J31" i="5"/>
  <c r="K31" i="5"/>
  <c r="L31" i="5"/>
  <c r="M31" i="5"/>
  <c r="AF15" i="5"/>
  <c r="AL19" i="5" s="1"/>
  <c r="AF27" i="5"/>
  <c r="AL25" i="5" s="1"/>
  <c r="M56" i="5"/>
  <c r="L56" i="5"/>
  <c r="K56" i="5"/>
  <c r="J56" i="5"/>
  <c r="M30" i="5"/>
  <c r="J30" i="5"/>
  <c r="L30" i="5"/>
  <c r="M51" i="5"/>
  <c r="L51" i="5"/>
  <c r="K51" i="5"/>
  <c r="J51" i="5"/>
  <c r="M11" i="5"/>
  <c r="L11" i="5"/>
  <c r="K11" i="5"/>
  <c r="J11" i="5"/>
  <c r="P11" i="5"/>
  <c r="J52" i="5"/>
  <c r="K52" i="5"/>
  <c r="M52" i="5"/>
  <c r="L52" i="5"/>
  <c r="K15" i="5"/>
  <c r="M15" i="5"/>
  <c r="J15" i="5"/>
  <c r="L15" i="5"/>
  <c r="M37" i="5"/>
  <c r="L37" i="5"/>
  <c r="J37" i="5"/>
  <c r="M26" i="5"/>
  <c r="L26" i="5"/>
  <c r="K26" i="5"/>
  <c r="J26" i="5"/>
  <c r="M48" i="5"/>
  <c r="L48" i="5"/>
  <c r="K48" i="5"/>
  <c r="J48" i="5"/>
  <c r="P27" i="5"/>
  <c r="M27" i="5"/>
  <c r="K27" i="5"/>
  <c r="M57" i="5"/>
  <c r="L57" i="5"/>
  <c r="K57" i="5"/>
  <c r="J57" i="5"/>
  <c r="M10" i="5"/>
  <c r="L10" i="5"/>
  <c r="K10" i="5"/>
  <c r="J10" i="5"/>
  <c r="L22" i="5"/>
  <c r="J22" i="5"/>
  <c r="M22" i="5"/>
  <c r="K22" i="5"/>
  <c r="M23" i="5"/>
  <c r="AF12" i="5"/>
  <c r="AL18" i="5" s="1"/>
  <c r="AF24" i="5"/>
  <c r="AL24" i="5" s="1"/>
  <c r="M12" i="5"/>
  <c r="L12" i="5"/>
  <c r="J12" i="5"/>
  <c r="K12" i="5"/>
  <c r="M28" i="5"/>
  <c r="K28" i="5"/>
  <c r="L28" i="5"/>
  <c r="J28" i="5"/>
  <c r="M32" i="5"/>
  <c r="L32" i="5"/>
  <c r="K32" i="5"/>
  <c r="J32" i="5"/>
  <c r="M18" i="5"/>
  <c r="L18" i="5"/>
  <c r="K18" i="5"/>
  <c r="J18" i="5"/>
  <c r="M36" i="5"/>
  <c r="L36" i="5"/>
  <c r="K36" i="5"/>
  <c r="J36" i="5"/>
  <c r="J7" i="5"/>
  <c r="X8" i="5"/>
  <c r="Z30" i="5" s="1"/>
  <c r="P7" i="5"/>
  <c r="L24" i="5"/>
  <c r="J16" i="5"/>
  <c r="K16" i="5"/>
  <c r="M16" i="5"/>
  <c r="L16" i="5"/>
  <c r="M20" i="5"/>
  <c r="L20" i="5"/>
  <c r="K20" i="5"/>
  <c r="J20" i="5"/>
  <c r="M38" i="5"/>
  <c r="J38" i="5"/>
  <c r="L38" i="5"/>
  <c r="K38" i="5"/>
  <c r="M58" i="5"/>
  <c r="L58" i="5"/>
  <c r="K58" i="5"/>
  <c r="J58" i="5"/>
  <c r="J8" i="5"/>
  <c r="K8" i="5"/>
  <c r="L8" i="5"/>
  <c r="M8" i="5"/>
  <c r="K42" i="5"/>
  <c r="M42" i="5"/>
  <c r="L42" i="5"/>
  <c r="J42" i="5"/>
  <c r="M14" i="5"/>
  <c r="L14" i="5"/>
  <c r="K14" i="5"/>
  <c r="J14" i="5"/>
  <c r="AC38" i="5"/>
  <c r="AF39" i="5"/>
  <c r="AL30" i="5" s="1"/>
  <c r="AF36" i="5"/>
  <c r="AL29" i="5" s="1"/>
  <c r="M41" i="5"/>
  <c r="L41" i="5"/>
  <c r="K41" i="5"/>
  <c r="J41" i="5"/>
  <c r="M25" i="5"/>
  <c r="L25" i="5"/>
  <c r="K25" i="5"/>
  <c r="J25" i="5"/>
  <c r="M46" i="5"/>
  <c r="K17" i="5"/>
  <c r="J17" i="5"/>
  <c r="L17" i="5"/>
  <c r="M17" i="5"/>
  <c r="M59" i="5"/>
  <c r="L59" i="5"/>
  <c r="K59" i="5"/>
  <c r="J59" i="5"/>
  <c r="AF21" i="5"/>
  <c r="AL23" i="5" s="1"/>
  <c r="AC40" i="5"/>
  <c r="AF30" i="5" s="1"/>
  <c r="AL27" i="5" s="1"/>
  <c r="M29" i="5"/>
  <c r="K29" i="5"/>
  <c r="L29" i="5"/>
  <c r="J29" i="5"/>
  <c r="K9" i="5"/>
  <c r="J9" i="5"/>
  <c r="M9" i="5"/>
  <c r="L9" i="5"/>
  <c r="M21" i="5"/>
  <c r="L21" i="5"/>
  <c r="K21" i="5"/>
  <c r="J21" i="5"/>
  <c r="J43" i="5"/>
  <c r="K43" i="5"/>
  <c r="P43" i="5"/>
  <c r="M43" i="5"/>
  <c r="L43" i="5"/>
  <c r="J54" i="5"/>
  <c r="M54" i="5"/>
  <c r="L54" i="5"/>
  <c r="K54" i="5"/>
  <c r="AC45" i="5"/>
  <c r="C61" i="5"/>
  <c r="N61" i="5" s="1"/>
  <c r="D61" i="5"/>
  <c r="O61" i="5" s="1"/>
  <c r="C63" i="5"/>
  <c r="N63" i="5" s="1"/>
  <c r="D63" i="5"/>
  <c r="O63" i="5" s="1"/>
  <c r="J13" i="5"/>
  <c r="AR17" i="5"/>
  <c r="J19" i="5"/>
  <c r="J40" i="5"/>
  <c r="J45" i="5"/>
  <c r="J55" i="5"/>
  <c r="K19" i="5"/>
  <c r="K40" i="5"/>
  <c r="K45" i="5"/>
  <c r="K55" i="5"/>
  <c r="L19" i="5"/>
  <c r="L40" i="5"/>
  <c r="L45" i="5"/>
  <c r="L55" i="5"/>
  <c r="J39" i="5"/>
  <c r="J44" i="5"/>
  <c r="J50" i="5"/>
  <c r="C62" i="5"/>
  <c r="N62" i="5" s="1"/>
  <c r="R62" i="5" s="1"/>
  <c r="M8" i="6" l="1"/>
  <c r="K8" i="6"/>
  <c r="L8" i="6"/>
  <c r="AF42" i="5"/>
  <c r="AL21" i="5" s="1"/>
  <c r="AF6" i="5"/>
  <c r="AL16" i="5" s="1"/>
  <c r="AF18" i="5"/>
  <c r="AL22" i="5" s="1"/>
  <c r="K7" i="5"/>
  <c r="X22" i="5"/>
  <c r="X40" i="5" s="1"/>
  <c r="M7" i="6"/>
  <c r="AF9" i="5"/>
  <c r="AL17" i="5" s="1"/>
  <c r="AL20" i="5" s="1"/>
  <c r="AF33" i="5"/>
  <c r="AL28" i="5" s="1"/>
  <c r="AF39" i="6"/>
  <c r="AL30" i="6" s="1"/>
  <c r="AF18" i="6"/>
  <c r="AL22" i="6" s="1"/>
  <c r="AL26" i="5"/>
  <c r="P7" i="6"/>
  <c r="J7" i="6"/>
  <c r="Z37" i="5"/>
  <c r="Z14" i="5"/>
  <c r="L7" i="5"/>
  <c r="X14" i="5" s="1"/>
  <c r="AC6" i="5" s="1"/>
  <c r="K15" i="6"/>
  <c r="M15" i="6"/>
  <c r="J15" i="6"/>
  <c r="L15" i="6"/>
  <c r="J57" i="6"/>
  <c r="L57" i="6"/>
  <c r="J48" i="6"/>
  <c r="K10" i="6"/>
  <c r="K48" i="6"/>
  <c r="M52" i="6"/>
  <c r="K57" i="6"/>
  <c r="K52" i="6"/>
  <c r="J49" i="6"/>
  <c r="K41" i="6"/>
  <c r="L41" i="6"/>
  <c r="L48" i="6"/>
  <c r="L49" i="6"/>
  <c r="M10" i="6"/>
  <c r="K49" i="6"/>
  <c r="K23" i="6"/>
  <c r="K37" i="6"/>
  <c r="L10" i="6"/>
  <c r="L23" i="6"/>
  <c r="L37" i="6"/>
  <c r="L9" i="6"/>
  <c r="J23" i="6"/>
  <c r="K22" i="6"/>
  <c r="M37" i="6"/>
  <c r="L54" i="6"/>
  <c r="J22" i="6"/>
  <c r="M54" i="6"/>
  <c r="J20" i="6"/>
  <c r="J9" i="6"/>
  <c r="K54" i="6"/>
  <c r="M9" i="6"/>
  <c r="K40" i="6"/>
  <c r="J32" i="6"/>
  <c r="K32" i="6"/>
  <c r="L32" i="6"/>
  <c r="M12" i="6"/>
  <c r="J47" i="6"/>
  <c r="K47" i="6"/>
  <c r="K12" i="6"/>
  <c r="L47" i="6"/>
  <c r="J12" i="6"/>
  <c r="J26" i="6"/>
  <c r="K26" i="6"/>
  <c r="K38" i="6"/>
  <c r="L26" i="6"/>
  <c r="M38" i="6"/>
  <c r="J38" i="6"/>
  <c r="J13" i="6"/>
  <c r="M13" i="6"/>
  <c r="L13" i="6"/>
  <c r="K13" i="6"/>
  <c r="K14" i="6"/>
  <c r="J14" i="6"/>
  <c r="K31" i="6"/>
  <c r="K29" i="6"/>
  <c r="L29" i="6"/>
  <c r="L39" i="6"/>
  <c r="M29" i="6"/>
  <c r="J11" i="6"/>
  <c r="M39" i="6"/>
  <c r="P11" i="6"/>
  <c r="L11" i="6"/>
  <c r="J39" i="6"/>
  <c r="J25" i="6"/>
  <c r="M50" i="6"/>
  <c r="K11" i="6"/>
  <c r="K25" i="6"/>
  <c r="L14" i="6"/>
  <c r="X22" i="6"/>
  <c r="M25" i="6"/>
  <c r="L22" i="6"/>
  <c r="X8" i="6"/>
  <c r="Z50" i="6" s="1"/>
  <c r="AF15" i="6"/>
  <c r="AL19" i="6" s="1"/>
  <c r="AF42" i="6"/>
  <c r="AL21" i="6" s="1"/>
  <c r="AF30" i="6"/>
  <c r="AL27" i="6" s="1"/>
  <c r="AF6" i="6"/>
  <c r="AL16" i="6" s="1"/>
  <c r="AL20" i="6" s="1"/>
  <c r="AF27" i="6"/>
  <c r="AL25" i="6" s="1"/>
  <c r="R63" i="6"/>
  <c r="J62" i="6"/>
  <c r="K62" i="6"/>
  <c r="M62" i="6"/>
  <c r="L62" i="6"/>
  <c r="X20" i="6"/>
  <c r="AF33" i="6"/>
  <c r="AL28" i="6" s="1"/>
  <c r="R61" i="6"/>
  <c r="AF21" i="6"/>
  <c r="AL23" i="6" s="1"/>
  <c r="AL26" i="6" s="1"/>
  <c r="Z41" i="5"/>
  <c r="Z40" i="5"/>
  <c r="K39" i="5"/>
  <c r="M39" i="5"/>
  <c r="L39" i="5"/>
  <c r="Z21" i="5"/>
  <c r="Z39" i="5"/>
  <c r="K46" i="5"/>
  <c r="M24" i="5"/>
  <c r="X16" i="5" s="1"/>
  <c r="X28" i="5" s="1"/>
  <c r="AC8" i="5" s="1"/>
  <c r="K23" i="5"/>
  <c r="X12" i="5" s="1"/>
  <c r="X30" i="5" s="1"/>
  <c r="AC7" i="5" s="1"/>
  <c r="J27" i="5"/>
  <c r="J46" i="5"/>
  <c r="J24" i="5"/>
  <c r="J23" i="5"/>
  <c r="X18" i="5" s="1"/>
  <c r="R61" i="5"/>
  <c r="L61" i="5" s="1"/>
  <c r="Z32" i="5"/>
  <c r="Z7" i="5"/>
  <c r="Z56" i="5"/>
  <c r="Z20" i="5"/>
  <c r="Z17" i="5"/>
  <c r="Z8" i="5"/>
  <c r="Z50" i="5"/>
  <c r="Z43" i="5"/>
  <c r="Z38" i="5"/>
  <c r="Z22" i="5"/>
  <c r="Z49" i="5"/>
  <c r="Z47" i="5"/>
  <c r="Z9" i="5"/>
  <c r="Z29" i="5"/>
  <c r="Z15" i="5"/>
  <c r="Z45" i="5"/>
  <c r="Z19" i="5"/>
  <c r="Z42" i="5"/>
  <c r="Z28" i="5"/>
  <c r="Z10" i="5"/>
  <c r="Z24" i="5"/>
  <c r="Z25" i="5"/>
  <c r="Z55" i="5"/>
  <c r="Z12" i="5"/>
  <c r="Z26" i="5"/>
  <c r="Z44" i="5"/>
  <c r="Z18" i="5"/>
  <c r="X20" i="5"/>
  <c r="Z31" i="5"/>
  <c r="Z51" i="5"/>
  <c r="R63" i="5"/>
  <c r="P60" i="5"/>
  <c r="X34" i="5" s="1"/>
  <c r="AC11" i="5" s="1"/>
  <c r="AF37" i="5" s="1"/>
  <c r="AF38" i="5" s="1"/>
  <c r="AI11" i="5" s="1"/>
  <c r="Z33" i="5"/>
  <c r="Z13" i="5"/>
  <c r="Z34" i="5"/>
  <c r="Z52" i="5"/>
  <c r="Z48" i="5"/>
  <c r="Z23" i="5"/>
  <c r="Z36" i="5"/>
  <c r="Z11" i="5"/>
  <c r="Z16" i="5"/>
  <c r="J62" i="5"/>
  <c r="K62" i="5"/>
  <c r="M62" i="5"/>
  <c r="L62" i="5"/>
  <c r="Z35" i="5"/>
  <c r="Z53" i="5"/>
  <c r="Z27" i="5"/>
  <c r="Z54" i="5"/>
  <c r="Z46" i="5"/>
  <c r="X10" i="6" l="1"/>
  <c r="X26" i="5"/>
  <c r="AC10" i="5" s="1"/>
  <c r="AF34" i="5" s="1"/>
  <c r="AF35" i="5" s="1"/>
  <c r="AI14" i="5" s="1"/>
  <c r="X24" i="5"/>
  <c r="AC9" i="5" s="1"/>
  <c r="AF31" i="5" s="1"/>
  <c r="AF32" i="5" s="1"/>
  <c r="AF43" i="5"/>
  <c r="AF44" i="5" s="1"/>
  <c r="AI31" i="5" s="1"/>
  <c r="X42" i="5"/>
  <c r="AR15" i="6"/>
  <c r="AR15" i="5"/>
  <c r="P60" i="6"/>
  <c r="X34" i="6" s="1"/>
  <c r="AC11" i="6" s="1"/>
  <c r="AF37" i="6" s="1"/>
  <c r="AF38" i="6" s="1"/>
  <c r="AI11" i="6" s="1"/>
  <c r="K61" i="5"/>
  <c r="M61" i="5"/>
  <c r="J61" i="5"/>
  <c r="X24" i="6"/>
  <c r="AC9" i="6" s="1"/>
  <c r="AF31" i="6" s="1"/>
  <c r="AF32" i="6" s="1"/>
  <c r="AI9" i="6" s="1"/>
  <c r="Z14" i="6"/>
  <c r="Z28" i="6"/>
  <c r="Z37" i="6"/>
  <c r="X12" i="6"/>
  <c r="X30" i="6" s="1"/>
  <c r="AC7" i="6" s="1"/>
  <c r="AF43" i="6" s="1"/>
  <c r="AF44" i="6" s="1"/>
  <c r="AI7" i="6" s="1"/>
  <c r="X18" i="6"/>
  <c r="X26" i="6" s="1"/>
  <c r="AC10" i="6" s="1"/>
  <c r="AF34" i="6" s="1"/>
  <c r="AF35" i="6" s="1"/>
  <c r="AI20" i="6" s="1"/>
  <c r="Z17" i="6"/>
  <c r="X14" i="6"/>
  <c r="AC6" i="6" s="1"/>
  <c r="AF7" i="6" s="1"/>
  <c r="AF8" i="6" s="1"/>
  <c r="Z32" i="6"/>
  <c r="Z43" i="6"/>
  <c r="Z9" i="6"/>
  <c r="X16" i="6"/>
  <c r="X28" i="6" s="1"/>
  <c r="AC8" i="6" s="1"/>
  <c r="AF19" i="6" s="1"/>
  <c r="AF20" i="6" s="1"/>
  <c r="Z51" i="6"/>
  <c r="Z16" i="6"/>
  <c r="Z38" i="6"/>
  <c r="Z44" i="6"/>
  <c r="Z12" i="6"/>
  <c r="Z20" i="6"/>
  <c r="X42" i="6"/>
  <c r="Z23" i="6"/>
  <c r="Z31" i="6"/>
  <c r="Z30" i="6"/>
  <c r="Z48" i="6"/>
  <c r="Z24" i="6"/>
  <c r="Z40" i="6"/>
  <c r="Z13" i="6"/>
  <c r="Z42" i="6"/>
  <c r="Z21" i="6"/>
  <c r="Z49" i="6"/>
  <c r="Z54" i="6"/>
  <c r="Z18" i="6"/>
  <c r="Z15" i="6"/>
  <c r="Z47" i="6"/>
  <c r="Z36" i="6"/>
  <c r="Z27" i="6"/>
  <c r="Z35" i="6"/>
  <c r="Z55" i="6"/>
  <c r="Z26" i="6"/>
  <c r="Z34" i="6"/>
  <c r="Z45" i="6"/>
  <c r="Z56" i="6"/>
  <c r="Z22" i="6"/>
  <c r="Z41" i="6"/>
  <c r="X40" i="6"/>
  <c r="Z11" i="6"/>
  <c r="Z52" i="6"/>
  <c r="Z53" i="6"/>
  <c r="Z8" i="6"/>
  <c r="Z33" i="6"/>
  <c r="Z25" i="6"/>
  <c r="Z7" i="6"/>
  <c r="Z46" i="6"/>
  <c r="Z39" i="6"/>
  <c r="Z10" i="6"/>
  <c r="Z29" i="6"/>
  <c r="Z19" i="6"/>
  <c r="M63" i="6"/>
  <c r="L63" i="6"/>
  <c r="K63" i="6"/>
  <c r="J63" i="6"/>
  <c r="M61" i="6"/>
  <c r="L61" i="6"/>
  <c r="K61" i="6"/>
  <c r="J61" i="6"/>
  <c r="AI15" i="6"/>
  <c r="AI21" i="6"/>
  <c r="AI25" i="6"/>
  <c r="X10" i="5"/>
  <c r="Z57" i="5"/>
  <c r="X32" i="5" s="1"/>
  <c r="AC12" i="5" s="1"/>
  <c r="AF40" i="5" s="1"/>
  <c r="AF41" i="5" s="1"/>
  <c r="AI29" i="5" s="1"/>
  <c r="AI10" i="5"/>
  <c r="AI27" i="5"/>
  <c r="AI7" i="5"/>
  <c r="AI19" i="5"/>
  <c r="AI32" i="5"/>
  <c r="AI28" i="5"/>
  <c r="AI9" i="5"/>
  <c r="AF25" i="5"/>
  <c r="AF26" i="5" s="1"/>
  <c r="AF22" i="5"/>
  <c r="AF23" i="5" s="1"/>
  <c r="AF28" i="5"/>
  <c r="AF29" i="5" s="1"/>
  <c r="AF19" i="5"/>
  <c r="AF20" i="5" s="1"/>
  <c r="AI15" i="5"/>
  <c r="AI21" i="5"/>
  <c r="AI25" i="5"/>
  <c r="AF7" i="5"/>
  <c r="AF8" i="5" s="1"/>
  <c r="AF16" i="5"/>
  <c r="AF17" i="5" s="1"/>
  <c r="AF10" i="5"/>
  <c r="AF11" i="5" s="1"/>
  <c r="AF13" i="5"/>
  <c r="AF14" i="5" s="1"/>
  <c r="M63" i="5"/>
  <c r="L63" i="5"/>
  <c r="K63" i="5"/>
  <c r="J63" i="5"/>
  <c r="AI17" i="5" l="1"/>
  <c r="AI24" i="5"/>
  <c r="AI20" i="5"/>
  <c r="AI19" i="6"/>
  <c r="AI32" i="6"/>
  <c r="AI28" i="6"/>
  <c r="AF45" i="5"/>
  <c r="AI22" i="5" s="1"/>
  <c r="AF46" i="5"/>
  <c r="AI23" i="5" s="1"/>
  <c r="AI10" i="6"/>
  <c r="AI14" i="6"/>
  <c r="AI24" i="6"/>
  <c r="AF25" i="6"/>
  <c r="AF26" i="6" s="1"/>
  <c r="AF28" i="6"/>
  <c r="AF29" i="6" s="1"/>
  <c r="AF13" i="6"/>
  <c r="AF14" i="6" s="1"/>
  <c r="AF22" i="6"/>
  <c r="AF23" i="6" s="1"/>
  <c r="AF46" i="6" s="1"/>
  <c r="AI13" i="6" s="1"/>
  <c r="AF16" i="6"/>
  <c r="AF17" i="6" s="1"/>
  <c r="AF10" i="6"/>
  <c r="AF11" i="6" s="1"/>
  <c r="Z57" i="6"/>
  <c r="X32" i="6" s="1"/>
  <c r="AC12" i="6" s="1"/>
  <c r="AF40" i="6" s="1"/>
  <c r="AF41" i="6" s="1"/>
  <c r="AI29" i="6" s="1"/>
  <c r="AI27" i="6"/>
  <c r="AI17" i="6"/>
  <c r="AI31" i="6"/>
  <c r="AI6" i="5"/>
  <c r="AF45" i="6" l="1"/>
  <c r="AI12" i="6" s="1"/>
  <c r="AI8" i="5"/>
  <c r="AI12" i="5"/>
  <c r="AI16" i="5"/>
  <c r="AI26" i="5"/>
  <c r="AI30" i="5"/>
  <c r="AI8" i="6"/>
  <c r="AI18" i="5"/>
  <c r="AI13" i="5"/>
  <c r="AL6" i="5"/>
  <c r="AL12" i="5" s="1"/>
  <c r="AF47" i="5" s="1"/>
  <c r="AI33" i="5" s="1"/>
  <c r="AI38" i="5" s="1"/>
  <c r="AI30" i="6"/>
  <c r="AI22" i="6"/>
  <c r="AI16" i="6"/>
  <c r="AI26" i="6"/>
  <c r="AL7" i="5"/>
  <c r="AL10" i="5"/>
  <c r="AI18" i="6"/>
  <c r="AI23" i="6"/>
  <c r="AI6" i="6"/>
  <c r="AL6" i="6" l="1"/>
  <c r="AL12" i="6" s="1"/>
  <c r="AL9" i="5"/>
  <c r="AO6" i="5"/>
  <c r="AL8" i="5"/>
  <c r="AL11" i="5"/>
  <c r="AL10" i="6"/>
  <c r="AL8" i="6"/>
  <c r="AL9" i="6"/>
  <c r="AL11" i="6"/>
  <c r="AL7" i="6"/>
  <c r="AO6" i="6"/>
  <c r="AF47" i="6"/>
  <c r="AI34" i="6" s="1"/>
  <c r="AI35" i="5"/>
  <c r="AI36" i="5"/>
  <c r="AO7" i="5"/>
  <c r="AI34" i="5"/>
  <c r="AI39" i="5" s="1"/>
  <c r="AO8" i="5" l="1"/>
  <c r="AN16" i="5"/>
  <c r="AI36" i="6"/>
  <c r="AI35" i="6"/>
  <c r="AI33" i="6"/>
  <c r="AI38" i="6" s="1"/>
  <c r="AO7" i="6"/>
  <c r="AO11" i="5"/>
  <c r="AO9" i="5"/>
  <c r="AO10" i="5"/>
  <c r="AI40" i="5"/>
  <c r="AI41" i="5" s="1"/>
  <c r="AI44" i="5"/>
  <c r="AO8" i="6" l="1"/>
  <c r="AN16" i="6"/>
  <c r="AO11" i="6"/>
  <c r="AO9" i="6"/>
  <c r="AO10" i="6"/>
  <c r="AI39" i="6"/>
  <c r="AI42" i="5"/>
  <c r="AI43" i="5" s="1"/>
  <c r="AI46" i="5"/>
  <c r="AR19" i="5" s="1"/>
  <c r="AI40" i="6" l="1"/>
  <c r="AI44" i="6"/>
  <c r="AI45" i="5"/>
  <c r="AI41" i="6" l="1"/>
  <c r="AI46" i="6"/>
  <c r="AR19" i="6" s="1"/>
  <c r="AI42" i="6" l="1"/>
  <c r="AI45" i="6" s="1"/>
  <c r="AI43" i="6" l="1"/>
  <c r="B36" i="7"/>
  <c r="N54" i="3" l="1"/>
  <c r="O54" i="3"/>
  <c r="R54" i="3" s="1"/>
  <c r="N55" i="3"/>
  <c r="O55" i="3"/>
  <c r="R55" i="3"/>
  <c r="J55" i="3" s="1"/>
  <c r="N56" i="3"/>
  <c r="O56" i="3"/>
  <c r="R56" i="3" s="1"/>
  <c r="N57" i="3"/>
  <c r="O57" i="3"/>
  <c r="R57" i="3"/>
  <c r="J57" i="3" s="1"/>
  <c r="J58" i="3"/>
  <c r="K58" i="3"/>
  <c r="L58" i="3"/>
  <c r="M58" i="3"/>
  <c r="N58" i="3"/>
  <c r="O58" i="3"/>
  <c r="R58" i="3"/>
  <c r="J35" i="3"/>
  <c r="K35" i="3"/>
  <c r="L35" i="3"/>
  <c r="M35" i="3"/>
  <c r="N35" i="3"/>
  <c r="O35" i="3"/>
  <c r="L56" i="3" l="1"/>
  <c r="M56" i="3"/>
  <c r="J56" i="3"/>
  <c r="K56" i="3"/>
  <c r="J54" i="3"/>
  <c r="K54" i="3"/>
  <c r="M54" i="3"/>
  <c r="L54" i="3"/>
  <c r="M55" i="3"/>
  <c r="K55" i="3"/>
  <c r="M57" i="3"/>
  <c r="L57" i="3"/>
  <c r="K57" i="3"/>
  <c r="L55" i="3"/>
  <c r="E20" i="2"/>
  <c r="E19" i="2"/>
  <c r="E17" i="2"/>
  <c r="B44" i="7" l="1"/>
  <c r="B38" i="7"/>
  <c r="X36" i="3" l="1"/>
  <c r="E21" i="2"/>
  <c r="E22" i="2"/>
  <c r="E24" i="2"/>
  <c r="E23" i="2"/>
  <c r="E18" i="2"/>
  <c r="E14" i="2"/>
  <c r="E13" i="2"/>
  <c r="E12" i="2"/>
  <c r="E11" i="2"/>
  <c r="E10" i="2"/>
  <c r="E26" i="2"/>
  <c r="N47" i="3" l="1"/>
  <c r="E47" i="3"/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40" i="3"/>
  <c r="E41" i="3"/>
  <c r="E42" i="3"/>
  <c r="E43" i="3"/>
  <c r="E44" i="3"/>
  <c r="E45" i="3"/>
  <c r="E46" i="3"/>
  <c r="E48" i="3"/>
  <c r="E49" i="3"/>
  <c r="E50" i="3"/>
  <c r="E51" i="3"/>
  <c r="E52" i="3"/>
  <c r="E53" i="3"/>
  <c r="E55" i="3"/>
  <c r="E56" i="3"/>
  <c r="E58" i="3"/>
  <c r="E59" i="3"/>
  <c r="E7" i="3"/>
  <c r="E28" i="2"/>
  <c r="E27" i="2"/>
  <c r="E25" i="2"/>
  <c r="E16" i="2"/>
  <c r="E15" i="2"/>
  <c r="B30" i="7" l="1"/>
  <c r="B42" i="7" l="1"/>
  <c r="B43" i="7" s="1"/>
  <c r="B40" i="7"/>
  <c r="B35" i="7"/>
  <c r="B32" i="7"/>
  <c r="B33" i="7" s="1"/>
  <c r="B31" i="7"/>
  <c r="B29" i="7"/>
  <c r="B28" i="7"/>
  <c r="B27" i="7"/>
  <c r="B26" i="7"/>
  <c r="B25" i="7"/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9" i="3"/>
  <c r="O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6" i="3"/>
  <c r="N37" i="3"/>
  <c r="N38" i="3"/>
  <c r="N39" i="3"/>
  <c r="N40" i="3"/>
  <c r="N41" i="3"/>
  <c r="N42" i="3"/>
  <c r="N43" i="3"/>
  <c r="N44" i="3"/>
  <c r="N45" i="3"/>
  <c r="N46" i="3"/>
  <c r="N48" i="3"/>
  <c r="N49" i="3"/>
  <c r="N50" i="3"/>
  <c r="N51" i="3"/>
  <c r="N52" i="3"/>
  <c r="N53" i="3"/>
  <c r="N59" i="3"/>
  <c r="N7" i="3"/>
  <c r="Q7" i="3" l="1"/>
  <c r="AC31" i="3" l="1"/>
  <c r="AC34" i="3" l="1"/>
  <c r="X6" i="3"/>
  <c r="D63" i="3" l="1"/>
  <c r="O63" i="3" s="1"/>
  <c r="C62" i="3"/>
  <c r="N62" i="3" s="1"/>
  <c r="D62" i="3"/>
  <c r="O62" i="3" s="1"/>
  <c r="C61" i="3"/>
  <c r="N61" i="3" s="1"/>
  <c r="D61" i="3"/>
  <c r="O61" i="3" s="1"/>
  <c r="C63" i="3"/>
  <c r="N63" i="3" s="1"/>
  <c r="R63" i="3" l="1"/>
  <c r="J63" i="3" s="1"/>
  <c r="L63" i="3"/>
  <c r="M63" i="3"/>
  <c r="R61" i="3"/>
  <c r="R62" i="3"/>
  <c r="AC36" i="3"/>
  <c r="AC29" i="3"/>
  <c r="AC26" i="3"/>
  <c r="AC21" i="3"/>
  <c r="AC20" i="3"/>
  <c r="AC17" i="3"/>
  <c r="AC18" i="3" s="1"/>
  <c r="AC14" i="3"/>
  <c r="AC15" i="3" s="1"/>
  <c r="K63" i="3" l="1"/>
  <c r="J62" i="3"/>
  <c r="L62" i="3"/>
  <c r="M62" i="3"/>
  <c r="K62" i="3"/>
  <c r="K61" i="3"/>
  <c r="M61" i="3"/>
  <c r="J61" i="3"/>
  <c r="L61" i="3"/>
  <c r="AC32" i="3"/>
  <c r="B34" i="7" s="1"/>
  <c r="AC22" i="3"/>
  <c r="AC13" i="3"/>
  <c r="X38" i="3"/>
  <c r="M34" i="3"/>
  <c r="J34" i="3"/>
  <c r="AC25" i="3"/>
  <c r="B37" i="7" l="1"/>
  <c r="B41" i="7"/>
  <c r="AC33" i="3"/>
  <c r="AC44" i="3" s="1"/>
  <c r="L34" i="3"/>
  <c r="K34" i="3"/>
  <c r="E5" i="7" l="1"/>
  <c r="E3" i="7"/>
  <c r="E1" i="7"/>
  <c r="AC37" i="3"/>
  <c r="AC35" i="3"/>
  <c r="AC30" i="3"/>
  <c r="AC43" i="3" s="1"/>
  <c r="AF27" i="3" s="1"/>
  <c r="AL25" i="3" s="1"/>
  <c r="AC27" i="3"/>
  <c r="AC16" i="3"/>
  <c r="AC38" i="3" s="1"/>
  <c r="Q11" i="3"/>
  <c r="Q27" i="3"/>
  <c r="Q43" i="3"/>
  <c r="AC45" i="3" l="1"/>
  <c r="AC23" i="3"/>
  <c r="AC40" i="3" s="1"/>
  <c r="Q60" i="3"/>
  <c r="AC28" i="3"/>
  <c r="AC42" i="3" s="1"/>
  <c r="AF36" i="3"/>
  <c r="AL29" i="3" s="1"/>
  <c r="E10" i="8" s="1"/>
  <c r="AC46" i="3"/>
  <c r="B39" i="7" l="1"/>
  <c r="E6" i="7" s="1"/>
  <c r="AR17" i="3"/>
  <c r="E4" i="7"/>
  <c r="AF9" i="3"/>
  <c r="AL17" i="3" s="1"/>
  <c r="AC19" i="3"/>
  <c r="AC39" i="3" s="1"/>
  <c r="AF15" i="3"/>
  <c r="AL19" i="3" s="1"/>
  <c r="AF39" i="3"/>
  <c r="AL30" i="3" s="1"/>
  <c r="AC41" i="3"/>
  <c r="AF6" i="3" s="1"/>
  <c r="AL16" i="3" s="1"/>
  <c r="E2" i="7" l="1"/>
  <c r="E7" i="7"/>
  <c r="AF33" i="3"/>
  <c r="AL28" i="3" s="1"/>
  <c r="E9" i="8" s="1"/>
  <c r="AF24" i="3"/>
  <c r="AL24" i="3" s="1"/>
  <c r="AF12" i="3"/>
  <c r="AL18" i="3" s="1"/>
  <c r="AL20" i="3" s="1"/>
  <c r="E5" i="8" s="1"/>
  <c r="AF42" i="3"/>
  <c r="AL21" i="3" s="1"/>
  <c r="E6" i="8" s="1"/>
  <c r="AF30" i="3"/>
  <c r="AL27" i="3" s="1"/>
  <c r="E8" i="8" s="1"/>
  <c r="AF18" i="3"/>
  <c r="AL22" i="3" s="1"/>
  <c r="AF21" i="3"/>
  <c r="AL23" i="3" s="1"/>
  <c r="R23" i="3"/>
  <c r="M23" i="3" s="1"/>
  <c r="R59" i="3"/>
  <c r="K59" i="3" s="1"/>
  <c r="R36" i="3"/>
  <c r="J36" i="3" s="1"/>
  <c r="R32" i="3"/>
  <c r="J32" i="3" s="1"/>
  <c r="R50" i="3"/>
  <c r="R22" i="3"/>
  <c r="K22" i="3" s="1"/>
  <c r="R28" i="3"/>
  <c r="R24" i="3"/>
  <c r="B12" i="7" s="1"/>
  <c r="R44" i="3"/>
  <c r="R37" i="3"/>
  <c r="L37" i="3" s="1"/>
  <c r="B18" i="7"/>
  <c r="R10" i="3"/>
  <c r="R41" i="3"/>
  <c r="B16" i="7" s="1"/>
  <c r="R51" i="3"/>
  <c r="R31" i="3"/>
  <c r="B14" i="7" s="1"/>
  <c r="R29" i="3"/>
  <c r="R27" i="3"/>
  <c r="R53" i="3"/>
  <c r="R45" i="3"/>
  <c r="R40" i="3"/>
  <c r="B19" i="7"/>
  <c r="R52" i="3"/>
  <c r="R49" i="3"/>
  <c r="R43" i="3"/>
  <c r="R38" i="3"/>
  <c r="R25" i="3"/>
  <c r="R8" i="3"/>
  <c r="B5" i="7" s="1"/>
  <c r="R30" i="3"/>
  <c r="R21" i="3"/>
  <c r="R9" i="3"/>
  <c r="R48" i="3"/>
  <c r="R46" i="3"/>
  <c r="R42" i="3"/>
  <c r="R39" i="3"/>
  <c r="R11" i="3"/>
  <c r="B15" i="7" s="1"/>
  <c r="R26" i="3"/>
  <c r="R20" i="3"/>
  <c r="R7" i="3"/>
  <c r="R18" i="3"/>
  <c r="R14" i="3"/>
  <c r="R12" i="3"/>
  <c r="R16" i="3"/>
  <c r="R13" i="3"/>
  <c r="R19" i="3"/>
  <c r="B11" i="7" s="1"/>
  <c r="R17" i="3"/>
  <c r="R15" i="3"/>
  <c r="B8" i="7" l="1"/>
  <c r="B9" i="7" s="1"/>
  <c r="B1" i="7"/>
  <c r="P43" i="3"/>
  <c r="B17" i="7"/>
  <c r="B3" i="7"/>
  <c r="E14" i="7"/>
  <c r="E15" i="7" s="1"/>
  <c r="E16" i="7" s="1"/>
  <c r="P27" i="3"/>
  <c r="B13" i="7"/>
  <c r="B2" i="7"/>
  <c r="P7" i="3"/>
  <c r="B4" i="7"/>
  <c r="B21" i="7"/>
  <c r="B23" i="7"/>
  <c r="E8" i="7" s="1"/>
  <c r="E9" i="7" s="1"/>
  <c r="E10" i="7" s="1"/>
  <c r="L32" i="3"/>
  <c r="AL26" i="3"/>
  <c r="E7" i="8" s="1"/>
  <c r="P11" i="3"/>
  <c r="J23" i="3"/>
  <c r="K23" i="3"/>
  <c r="L23" i="3"/>
  <c r="M59" i="3"/>
  <c r="M22" i="3"/>
  <c r="M32" i="3"/>
  <c r="K17" i="3"/>
  <c r="J59" i="3"/>
  <c r="K15" i="3"/>
  <c r="K16" i="3"/>
  <c r="L59" i="3"/>
  <c r="J28" i="3"/>
  <c r="K36" i="3"/>
  <c r="L22" i="3"/>
  <c r="M44" i="3"/>
  <c r="M50" i="3"/>
  <c r="L44" i="3"/>
  <c r="L36" i="3"/>
  <c r="J44" i="3"/>
  <c r="K50" i="3"/>
  <c r="M36" i="3"/>
  <c r="J50" i="3"/>
  <c r="K44" i="3"/>
  <c r="L50" i="3"/>
  <c r="J22" i="3"/>
  <c r="K32" i="3"/>
  <c r="M24" i="3"/>
  <c r="J24" i="3"/>
  <c r="L24" i="3"/>
  <c r="K24" i="3"/>
  <c r="M28" i="3"/>
  <c r="L28" i="3"/>
  <c r="K28" i="3"/>
  <c r="M37" i="3"/>
  <c r="K37" i="3"/>
  <c r="J37" i="3"/>
  <c r="M13" i="3"/>
  <c r="L13" i="3"/>
  <c r="J13" i="3"/>
  <c r="K13" i="3"/>
  <c r="M18" i="3"/>
  <c r="L18" i="3"/>
  <c r="K18" i="3"/>
  <c r="J18" i="3"/>
  <c r="M46" i="3"/>
  <c r="J46" i="3"/>
  <c r="K46" i="3"/>
  <c r="L46" i="3"/>
  <c r="M21" i="3"/>
  <c r="L21" i="3"/>
  <c r="K21" i="3"/>
  <c r="J21" i="3"/>
  <c r="M25" i="3"/>
  <c r="L25" i="3"/>
  <c r="K25" i="3"/>
  <c r="J25" i="3"/>
  <c r="M40" i="3"/>
  <c r="L40" i="3"/>
  <c r="K40" i="3"/>
  <c r="J40" i="3"/>
  <c r="M29" i="3"/>
  <c r="L29" i="3"/>
  <c r="K29" i="3"/>
  <c r="J29" i="3"/>
  <c r="M15" i="3"/>
  <c r="L15" i="3"/>
  <c r="J15" i="3"/>
  <c r="M16" i="3"/>
  <c r="L16" i="3"/>
  <c r="J16" i="3"/>
  <c r="M33" i="3"/>
  <c r="L33" i="3"/>
  <c r="K33" i="3"/>
  <c r="J33" i="3"/>
  <c r="M11" i="3"/>
  <c r="L11" i="3"/>
  <c r="J11" i="3"/>
  <c r="K11" i="3"/>
  <c r="M48" i="3"/>
  <c r="L48" i="3"/>
  <c r="K48" i="3"/>
  <c r="J48" i="3"/>
  <c r="M30" i="3"/>
  <c r="L30" i="3"/>
  <c r="J30" i="3"/>
  <c r="K30" i="3"/>
  <c r="M49" i="3"/>
  <c r="L49" i="3"/>
  <c r="J49" i="3"/>
  <c r="K49" i="3"/>
  <c r="M45" i="3"/>
  <c r="K45" i="3"/>
  <c r="L45" i="3"/>
  <c r="J45" i="3"/>
  <c r="M31" i="3"/>
  <c r="L31" i="3"/>
  <c r="K31" i="3"/>
  <c r="J31" i="3"/>
  <c r="M10" i="3"/>
  <c r="L10" i="3"/>
  <c r="K10" i="3"/>
  <c r="J10" i="3"/>
  <c r="M17" i="3"/>
  <c r="L17" i="3"/>
  <c r="J17" i="3"/>
  <c r="M12" i="3"/>
  <c r="L12" i="3"/>
  <c r="K12" i="3"/>
  <c r="J12" i="3"/>
  <c r="M7" i="3"/>
  <c r="K7" i="3"/>
  <c r="L7" i="3"/>
  <c r="J7" i="3"/>
  <c r="M20" i="3"/>
  <c r="L20" i="3"/>
  <c r="J20" i="3"/>
  <c r="K20" i="3"/>
  <c r="M39" i="3"/>
  <c r="J39" i="3"/>
  <c r="K39" i="3"/>
  <c r="L39" i="3"/>
  <c r="M9" i="3"/>
  <c r="J9" i="3"/>
  <c r="K9" i="3"/>
  <c r="L9" i="3"/>
  <c r="M38" i="3"/>
  <c r="L38" i="3"/>
  <c r="K38" i="3"/>
  <c r="J38" i="3"/>
  <c r="M52" i="3"/>
  <c r="L52" i="3"/>
  <c r="K52" i="3"/>
  <c r="J52" i="3"/>
  <c r="M53" i="3"/>
  <c r="L53" i="3"/>
  <c r="K53" i="3"/>
  <c r="J53" i="3"/>
  <c r="M41" i="3"/>
  <c r="J41" i="3"/>
  <c r="K41" i="3"/>
  <c r="L41" i="3"/>
  <c r="M19" i="3"/>
  <c r="L19" i="3"/>
  <c r="K19" i="3"/>
  <c r="J19" i="3"/>
  <c r="M14" i="3"/>
  <c r="L14" i="3"/>
  <c r="K14" i="3"/>
  <c r="J14" i="3"/>
  <c r="M26" i="3"/>
  <c r="L26" i="3"/>
  <c r="J26" i="3"/>
  <c r="K26" i="3"/>
  <c r="M42" i="3"/>
  <c r="L42" i="3"/>
  <c r="K42" i="3"/>
  <c r="J42" i="3"/>
  <c r="M8" i="3"/>
  <c r="L8" i="3"/>
  <c r="K8" i="3"/>
  <c r="J8" i="3"/>
  <c r="M43" i="3"/>
  <c r="L43" i="3"/>
  <c r="J43" i="3"/>
  <c r="K43" i="3"/>
  <c r="M27" i="3"/>
  <c r="L27" i="3"/>
  <c r="K27" i="3"/>
  <c r="J27" i="3"/>
  <c r="M51" i="3"/>
  <c r="K51" i="3"/>
  <c r="L51" i="3"/>
  <c r="J51" i="3"/>
  <c r="E11" i="7" l="1"/>
  <c r="E12" i="7" s="1"/>
  <c r="E13" i="7" s="1"/>
  <c r="B20" i="7"/>
  <c r="B7" i="7"/>
  <c r="P60" i="3"/>
  <c r="X34" i="3" s="1"/>
  <c r="D10" i="8" s="1"/>
  <c r="AC11" i="3" l="1"/>
  <c r="AF37" i="3" s="1"/>
  <c r="AF38" i="3" s="1"/>
  <c r="E26" i="7"/>
  <c r="E27" i="7" s="1"/>
  <c r="E28" i="7" s="1"/>
  <c r="E23" i="7"/>
  <c r="E24" i="7" s="1"/>
  <c r="E25" i="7" s="1"/>
  <c r="AI15" i="3" l="1"/>
  <c r="AI11" i="3"/>
  <c r="F10" i="8" s="1"/>
  <c r="AI21" i="3"/>
  <c r="AI25" i="3"/>
  <c r="X22" i="3"/>
  <c r="R47" i="3"/>
  <c r="M47" i="3" s="1"/>
  <c r="X16" i="3" s="1"/>
  <c r="X8" i="3"/>
  <c r="Z50" i="3" s="1"/>
  <c r="AR15" i="3" l="1"/>
  <c r="F16" i="8" s="1"/>
  <c r="L47" i="3"/>
  <c r="X14" i="3" s="1"/>
  <c r="D5" i="8" s="1"/>
  <c r="B6" i="7"/>
  <c r="B22" i="7" s="1"/>
  <c r="E17" i="7" s="1"/>
  <c r="E18" i="7" s="1"/>
  <c r="E19" i="7" s="1"/>
  <c r="Z30" i="3"/>
  <c r="Z47" i="3"/>
  <c r="Z41" i="3"/>
  <c r="Z22" i="3"/>
  <c r="Z40" i="3"/>
  <c r="Z35" i="3"/>
  <c r="Z27" i="3"/>
  <c r="Z45" i="3"/>
  <c r="Z53" i="3"/>
  <c r="Z33" i="3"/>
  <c r="Z7" i="3"/>
  <c r="Z38" i="3"/>
  <c r="Z48" i="3"/>
  <c r="Z34" i="3"/>
  <c r="Z43" i="3"/>
  <c r="Z44" i="3"/>
  <c r="Z56" i="3"/>
  <c r="Z9" i="3"/>
  <c r="Z21" i="3"/>
  <c r="AC6" i="3"/>
  <c r="X40" i="3"/>
  <c r="Z13" i="3"/>
  <c r="Z17" i="3"/>
  <c r="Z23" i="3"/>
  <c r="D4" i="8"/>
  <c r="Z32" i="3"/>
  <c r="Z16" i="3"/>
  <c r="Z39" i="3"/>
  <c r="Z28" i="3"/>
  <c r="Z52" i="3"/>
  <c r="Z12" i="3"/>
  <c r="J47" i="3"/>
  <c r="Z42" i="3"/>
  <c r="Z10" i="3"/>
  <c r="Z18" i="3"/>
  <c r="K47" i="3"/>
  <c r="Z49" i="3"/>
  <c r="Z31" i="3"/>
  <c r="Z8" i="3"/>
  <c r="Z55" i="3"/>
  <c r="Z25" i="3"/>
  <c r="Z19" i="3"/>
  <c r="X42" i="3"/>
  <c r="X28" i="3"/>
  <c r="Z26" i="3"/>
  <c r="Z14" i="3"/>
  <c r="Z37" i="3"/>
  <c r="Z20" i="3"/>
  <c r="Z54" i="3"/>
  <c r="Z36" i="3"/>
  <c r="Z46" i="3"/>
  <c r="Z11" i="3"/>
  <c r="Z51" i="3"/>
  <c r="Z15" i="3"/>
  <c r="Z29" i="3"/>
  <c r="Z24" i="3"/>
  <c r="F31" i="8" l="1"/>
  <c r="F28" i="8"/>
  <c r="B10" i="7"/>
  <c r="E20" i="7" s="1"/>
  <c r="E21" i="7" s="1"/>
  <c r="E22" i="7" s="1"/>
  <c r="H1" i="7" s="1"/>
  <c r="H2" i="7" s="1"/>
  <c r="Z57" i="3"/>
  <c r="X32" i="3" s="1"/>
  <c r="AC12" i="3" s="1"/>
  <c r="AF40" i="3" s="1"/>
  <c r="AF41" i="3" s="1"/>
  <c r="AI29" i="3" s="1"/>
  <c r="X12" i="3"/>
  <c r="X30" i="3" s="1"/>
  <c r="X20" i="3"/>
  <c r="X24" i="3" s="1"/>
  <c r="AF10" i="3"/>
  <c r="AF11" i="3" s="1"/>
  <c r="AF16" i="3"/>
  <c r="AF17" i="3" s="1"/>
  <c r="AF13" i="3"/>
  <c r="AF14" i="3" s="1"/>
  <c r="AF7" i="3"/>
  <c r="AF8" i="3" s="1"/>
  <c r="AC8" i="3"/>
  <c r="D7" i="8"/>
  <c r="B24" i="7"/>
  <c r="X18" i="3"/>
  <c r="X26" i="3" s="1"/>
  <c r="X10" i="3"/>
  <c r="D34" i="8" l="1"/>
  <c r="AF45" i="3"/>
  <c r="AI6" i="3" s="1"/>
  <c r="D9" i="8"/>
  <c r="AC10" i="3"/>
  <c r="AF34" i="3" s="1"/>
  <c r="AF35" i="3" s="1"/>
  <c r="AI10" i="3" s="1"/>
  <c r="AC9" i="3"/>
  <c r="AF31" i="3" s="1"/>
  <c r="AF32" i="3" s="1"/>
  <c r="AI9" i="3" s="1"/>
  <c r="D8" i="8"/>
  <c r="AF22" i="3"/>
  <c r="AF23" i="3" s="1"/>
  <c r="AF25" i="3"/>
  <c r="AF26" i="3" s="1"/>
  <c r="AF28" i="3"/>
  <c r="AF29" i="3" s="1"/>
  <c r="AF19" i="3"/>
  <c r="AF20" i="3" s="1"/>
  <c r="AC7" i="3"/>
  <c r="AF43" i="3" s="1"/>
  <c r="AF44" i="3" s="1"/>
  <c r="AI7" i="3" s="1"/>
  <c r="AI22" i="3" l="1"/>
  <c r="F5" i="8"/>
  <c r="AI30" i="3"/>
  <c r="AI16" i="3"/>
  <c r="AI12" i="3"/>
  <c r="AI26" i="3"/>
  <c r="AF46" i="3"/>
  <c r="AI8" i="3" s="1"/>
  <c r="AI28" i="3"/>
  <c r="AI32" i="3"/>
  <c r="AI19" i="3"/>
  <c r="F8" i="8"/>
  <c r="F9" i="8"/>
  <c r="AI14" i="3"/>
  <c r="AI20" i="3"/>
  <c r="AI24" i="3"/>
  <c r="F6" i="8"/>
  <c r="AI17" i="3"/>
  <c r="AI27" i="3"/>
  <c r="AI31" i="3"/>
  <c r="F7" i="8" l="1"/>
  <c r="AI23" i="3"/>
  <c r="AI18" i="3"/>
  <c r="AI13" i="3"/>
  <c r="AL6" i="3"/>
  <c r="AL12" i="3" s="1"/>
  <c r="D16" i="8" s="1"/>
  <c r="E31" i="8" l="1"/>
  <c r="D31" i="8"/>
  <c r="E28" i="8"/>
  <c r="D28" i="8"/>
  <c r="AL7" i="3"/>
  <c r="D36" i="8" s="1"/>
  <c r="AL10" i="3"/>
  <c r="D39" i="8" s="1"/>
  <c r="AL8" i="3"/>
  <c r="H3" i="7"/>
  <c r="H4" i="7" s="1"/>
  <c r="H5" i="7" s="1"/>
  <c r="AL11" i="3"/>
  <c r="AL9" i="3"/>
  <c r="AO6" i="3"/>
  <c r="AO7" i="3" s="1"/>
  <c r="AN16" i="3" s="1"/>
  <c r="AF47" i="3"/>
  <c r="D17" i="8" s="1"/>
  <c r="E16" i="8" l="1"/>
  <c r="F34" i="8"/>
  <c r="AI35" i="3"/>
  <c r="AI34" i="3"/>
  <c r="AI33" i="3"/>
  <c r="AI38" i="3" s="1"/>
  <c r="D18" i="8" s="1"/>
  <c r="AI36" i="3"/>
  <c r="AO8" i="3" l="1"/>
  <c r="AO10" i="3"/>
  <c r="AO11" i="3"/>
  <c r="AO9" i="3"/>
  <c r="AI39" i="3"/>
  <c r="AI40" i="3" l="1"/>
  <c r="D20" i="8" s="1"/>
  <c r="D19" i="8"/>
  <c r="AI44" i="3"/>
  <c r="AI41" i="3"/>
  <c r="D21" i="8" s="1"/>
  <c r="AI46" i="3"/>
  <c r="D23" i="8" s="1"/>
  <c r="AR19" i="3" l="1"/>
  <c r="F23" i="8" s="1"/>
  <c r="AI42" i="3"/>
  <c r="AI45" i="3" l="1"/>
  <c r="D22" i="8"/>
  <c r="AI43" i="3"/>
</calcChain>
</file>

<file path=xl/sharedStrings.xml><?xml version="1.0" encoding="utf-8"?>
<sst xmlns="http://schemas.openxmlformats.org/spreadsheetml/2006/main" count="992" uniqueCount="445">
  <si>
    <t>Bredd</t>
  </si>
  <si>
    <t>Fiskart</t>
  </si>
  <si>
    <t>Storfisk</t>
  </si>
  <si>
    <t>0plus</t>
  </si>
  <si>
    <t>Öring</t>
  </si>
  <si>
    <t>Beräknat antal/100m2</t>
  </si>
  <si>
    <t>Öringtyp</t>
  </si>
  <si>
    <t>Vtyp_123</t>
  </si>
  <si>
    <t>Area</t>
  </si>
  <si>
    <t>Lake</t>
  </si>
  <si>
    <t>Gädda</t>
  </si>
  <si>
    <t>Lax</t>
  </si>
  <si>
    <t>Ål</t>
  </si>
  <si>
    <t>Mört</t>
  </si>
  <si>
    <t>Harr</t>
  </si>
  <si>
    <t>Färna</t>
  </si>
  <si>
    <t>Gers</t>
  </si>
  <si>
    <t>Id</t>
  </si>
  <si>
    <t>Stäm</t>
  </si>
  <si>
    <t>Sik</t>
  </si>
  <si>
    <t>Mal</t>
  </si>
  <si>
    <t>Ruda</t>
  </si>
  <si>
    <t>Sarv</t>
  </si>
  <si>
    <t>Vimma</t>
  </si>
  <si>
    <t>Gös</t>
  </si>
  <si>
    <t>Asp</t>
  </si>
  <si>
    <t>Karp</t>
  </si>
  <si>
    <t>Nors</t>
  </si>
  <si>
    <t>Störing</t>
  </si>
  <si>
    <t>Sjöring</t>
  </si>
  <si>
    <t>Höring</t>
  </si>
  <si>
    <t>Intol</t>
  </si>
  <si>
    <t>Tol</t>
  </si>
  <si>
    <t>Re_lith</t>
  </si>
  <si>
    <t>Ölax</t>
  </si>
  <si>
    <t>N_intol</t>
  </si>
  <si>
    <t>N_tol</t>
  </si>
  <si>
    <t>N_ölax</t>
  </si>
  <si>
    <t>N_lith</t>
  </si>
  <si>
    <t>Antal toleranta arter</t>
  </si>
  <si>
    <t>Antal intoleranta arter</t>
  </si>
  <si>
    <t>Summa</t>
  </si>
  <si>
    <t>SimpsonsD</t>
  </si>
  <si>
    <t>Omräkn-9</t>
  </si>
  <si>
    <t>LaxfiskF</t>
  </si>
  <si>
    <t>LaxfiskR</t>
  </si>
  <si>
    <t>Transformationer</t>
  </si>
  <si>
    <t>Avromr</t>
  </si>
  <si>
    <t>Avromrk</t>
  </si>
  <si>
    <t>Andsjo</t>
  </si>
  <si>
    <t>Andsjopr</t>
  </si>
  <si>
    <t>Avstupp</t>
  </si>
  <si>
    <t>Avstner</t>
  </si>
  <si>
    <t>Mindistsj</t>
  </si>
  <si>
    <t>Hoh</t>
  </si>
  <si>
    <t>tNölax</t>
  </si>
  <si>
    <t>tNandtol</t>
  </si>
  <si>
    <t>tNandlith</t>
  </si>
  <si>
    <t>tSpproptol</t>
  </si>
  <si>
    <t>tSppropint</t>
  </si>
  <si>
    <t>tKvot</t>
  </si>
  <si>
    <t>tSimpson</t>
  </si>
  <si>
    <t>tAvromr</t>
  </si>
  <si>
    <t>tAndsjo</t>
  </si>
  <si>
    <t>tMindistsj</t>
  </si>
  <si>
    <t>tHoh</t>
  </si>
  <si>
    <t>Lutning_pr</t>
  </si>
  <si>
    <t>Lutning_prom</t>
  </si>
  <si>
    <t>tLutning_prom</t>
  </si>
  <si>
    <t>Medtempar</t>
  </si>
  <si>
    <t>tMedtempar</t>
  </si>
  <si>
    <t>Medtjuli</t>
  </si>
  <si>
    <t>Medt_juli</t>
  </si>
  <si>
    <t>tMedt_juli</t>
  </si>
  <si>
    <t>tBredd</t>
  </si>
  <si>
    <t>tArea</t>
  </si>
  <si>
    <t>t2Avromr</t>
  </si>
  <si>
    <t>t2Andsjo</t>
  </si>
  <si>
    <t>t2Mindistsj</t>
  </si>
  <si>
    <t>t2Hoh</t>
  </si>
  <si>
    <t>t2Lutning_prom</t>
  </si>
  <si>
    <t>t2Medtempar</t>
  </si>
  <si>
    <t>t2Medt_juli</t>
  </si>
  <si>
    <t>t2Bredd</t>
  </si>
  <si>
    <t>t2Area</t>
  </si>
  <si>
    <t>pred_nölax</t>
  </si>
  <si>
    <t>pred_nandtol</t>
  </si>
  <si>
    <t>pred_nandlith</t>
  </si>
  <si>
    <t>pred_spproptol</t>
  </si>
  <si>
    <t>pred_sppropintol</t>
  </si>
  <si>
    <t>pred_kvot</t>
  </si>
  <si>
    <t>Simpson</t>
  </si>
  <si>
    <t>pred_simpson</t>
  </si>
  <si>
    <t>VIX</t>
  </si>
  <si>
    <t>Fisktom</t>
  </si>
  <si>
    <t>Anmärkning</t>
  </si>
  <si>
    <t>pre_sd_VIX_c</t>
  </si>
  <si>
    <t>p_1</t>
  </si>
  <si>
    <t>p_2</t>
  </si>
  <si>
    <t>p_3</t>
  </si>
  <si>
    <t>p_4</t>
  </si>
  <si>
    <t>p_5</t>
  </si>
  <si>
    <t>Prediktioner</t>
  </si>
  <si>
    <t>pre_1</t>
  </si>
  <si>
    <t>r_1</t>
  </si>
  <si>
    <t>zr_1</t>
  </si>
  <si>
    <t>pre_1_1</t>
  </si>
  <si>
    <t>r_1_1</t>
  </si>
  <si>
    <t>zr_1_1</t>
  </si>
  <si>
    <t>pre_1_2</t>
  </si>
  <si>
    <t>r_1_2</t>
  </si>
  <si>
    <t>zr_1_2</t>
  </si>
  <si>
    <t>pre_1_3</t>
  </si>
  <si>
    <t>r_1_3</t>
  </si>
  <si>
    <t>zr_1_3</t>
  </si>
  <si>
    <t>pre_9</t>
  </si>
  <si>
    <t>r_9</t>
  </si>
  <si>
    <t>zr_9</t>
  </si>
  <si>
    <t>pre_9_1</t>
  </si>
  <si>
    <t>r_9_1</t>
  </si>
  <si>
    <t>zr_9_1</t>
  </si>
  <si>
    <t>pre_9_2</t>
  </si>
  <si>
    <t>r_9_2</t>
  </si>
  <si>
    <t>zr_9_2</t>
  </si>
  <si>
    <t>pre_9_3</t>
  </si>
  <si>
    <t>r_9_3</t>
  </si>
  <si>
    <t>zr_9_3</t>
  </si>
  <si>
    <t>pre_12</t>
  </si>
  <si>
    <t>r_12</t>
  </si>
  <si>
    <t>zr_12</t>
  </si>
  <si>
    <t>pre_13</t>
  </si>
  <si>
    <t>r_13</t>
  </si>
  <si>
    <t>zr_13</t>
  </si>
  <si>
    <t>pre_20</t>
  </si>
  <si>
    <t>r_20</t>
  </si>
  <si>
    <t>zr_20</t>
  </si>
  <si>
    <t>pre_23</t>
  </si>
  <si>
    <t>r_23</t>
  </si>
  <si>
    <t>zr_23</t>
  </si>
  <si>
    <t>pre_24</t>
  </si>
  <si>
    <t>r_24</t>
  </si>
  <si>
    <t>zr_24</t>
  </si>
  <si>
    <t>zr_1d</t>
  </si>
  <si>
    <t>zr_9d</t>
  </si>
  <si>
    <t>P-värden</t>
  </si>
  <si>
    <t>f_p_1d</t>
  </si>
  <si>
    <t>f_p_9d</t>
  </si>
  <si>
    <t>f_p_13</t>
  </si>
  <si>
    <t>f_p_20</t>
  </si>
  <si>
    <t>ö_p_1d</t>
  </si>
  <si>
    <t>ö_p_24</t>
  </si>
  <si>
    <t>ö_p_9d</t>
  </si>
  <si>
    <t>ö_p_12</t>
  </si>
  <si>
    <t>ö_p_13</t>
  </si>
  <si>
    <t>ö_p_20</t>
  </si>
  <si>
    <t>m_p_1d</t>
  </si>
  <si>
    <t>m_p_9d</t>
  </si>
  <si>
    <t>m_p_13</t>
  </si>
  <si>
    <t>m_p_20</t>
  </si>
  <si>
    <t>h_p_1d</t>
  </si>
  <si>
    <t>h_p_24</t>
  </si>
  <si>
    <t>h_p_12</t>
  </si>
  <si>
    <t>k_p_1d</t>
  </si>
  <si>
    <t>k_p_24</t>
  </si>
  <si>
    <t>k_p_12</t>
  </si>
  <si>
    <t>Index</t>
  </si>
  <si>
    <t>g_mean6</t>
  </si>
  <si>
    <t>ö_mean6</t>
  </si>
  <si>
    <t>m_mean4</t>
  </si>
  <si>
    <t>k_mean3</t>
  </si>
  <si>
    <t>VIXb</t>
  </si>
  <si>
    <t>Klasser</t>
  </si>
  <si>
    <t>Elritsa</t>
  </si>
  <si>
    <t>Stensimpa</t>
  </si>
  <si>
    <t>Abborre</t>
  </si>
  <si>
    <t>Benlöja</t>
  </si>
  <si>
    <t>Bergsimpa</t>
  </si>
  <si>
    <t>Björkna</t>
  </si>
  <si>
    <t>Braxen</t>
  </si>
  <si>
    <t>Bäcknejonöga</t>
  </si>
  <si>
    <t>Bäckröding</t>
  </si>
  <si>
    <t>Flodnejonöga</t>
  </si>
  <si>
    <t>Groplöja</t>
  </si>
  <si>
    <t>Grönling</t>
  </si>
  <si>
    <t>Havsnejonöga</t>
  </si>
  <si>
    <t>Hornsimpa</t>
  </si>
  <si>
    <t>Kanadaröding</t>
  </si>
  <si>
    <t>Karpfisk (obestämd)</t>
  </si>
  <si>
    <t>Nejonöga (obestämd)</t>
  </si>
  <si>
    <t>Nissöga</t>
  </si>
  <si>
    <t>Regnbåge</t>
  </si>
  <si>
    <t>Röding</t>
  </si>
  <si>
    <t>Rödspätta</t>
  </si>
  <si>
    <t>Sandkrypare</t>
  </si>
  <si>
    <t>Siklöja</t>
  </si>
  <si>
    <t>Simpa (obestämd)</t>
  </si>
  <si>
    <t>Skrubba</t>
  </si>
  <si>
    <t>Småspigg</t>
  </si>
  <si>
    <t>Spigg (obestämd)</t>
  </si>
  <si>
    <t>Storspigg</t>
  </si>
  <si>
    <t>Sutare</t>
  </si>
  <si>
    <t>Kräfta (flod-, signal-)</t>
  </si>
  <si>
    <t>Antal fiskarter</t>
  </si>
  <si>
    <t>Fiskemånad</t>
  </si>
  <si>
    <t>Kommentarer</t>
  </si>
  <si>
    <t>Kräfta fångades</t>
  </si>
  <si>
    <t>Högbelägen lokal utan fisk. VIX ej tillämpbart.</t>
  </si>
  <si>
    <t>Högbelägen lokal. Bedömning med enbart VIX kan vara olämpligt.</t>
  </si>
  <si>
    <t>Predikterade värden</t>
  </si>
  <si>
    <t>gpred_nölax</t>
  </si>
  <si>
    <t>pred1_nölax</t>
  </si>
  <si>
    <t>pred2_nölax</t>
  </si>
  <si>
    <t>pred3_nölax</t>
  </si>
  <si>
    <t>gpred_nandlith</t>
  </si>
  <si>
    <t>pred1_nandlith</t>
  </si>
  <si>
    <t>pred2_nandlith</t>
  </si>
  <si>
    <t>pred3_nandlith</t>
  </si>
  <si>
    <t>Medelantal/art/100m2</t>
  </si>
  <si>
    <t>Antal totalt/100m2</t>
  </si>
  <si>
    <t>Antal intoleranta/100m2</t>
  </si>
  <si>
    <t>Antal toleranta/100m2</t>
  </si>
  <si>
    <t>Antal litofila/100m2</t>
  </si>
  <si>
    <t>g_p_1d (p_VIX_nölax)</t>
  </si>
  <si>
    <t>g_p_24 (p_VIX_nandtol)</t>
  </si>
  <si>
    <t>g_p_9d (p_VIX_nandlith)</t>
  </si>
  <si>
    <t>g_p_12 (p_VIX_spproptol)</t>
  </si>
  <si>
    <t>g_p_13 (p_VIX_sppropintol)</t>
  </si>
  <si>
    <t>g_p_20 (p_VIX_kvot)</t>
  </si>
  <si>
    <t>f_mean4 (VIXsm)</t>
  </si>
  <si>
    <t>h_mean4 (VIXh)</t>
  </si>
  <si>
    <t>g_mean6b (VIX)</t>
  </si>
  <si>
    <t>VIX_c (VIX_klass)</t>
  </si>
  <si>
    <t>VIX_c_2</t>
  </si>
  <si>
    <t>VIX_c_3</t>
  </si>
  <si>
    <t>VIX_c_4</t>
  </si>
  <si>
    <t>VIX_c_5</t>
  </si>
  <si>
    <t>p1</t>
  </si>
  <si>
    <t>p2</t>
  </si>
  <si>
    <t>p3</t>
  </si>
  <si>
    <t>p4</t>
  </si>
  <si>
    <t>p5</t>
  </si>
  <si>
    <t>p_tot</t>
  </si>
  <si>
    <t>p12</t>
  </si>
  <si>
    <t>p345</t>
  </si>
  <si>
    <t>p23_diff</t>
  </si>
  <si>
    <t>Gränsfall</t>
  </si>
  <si>
    <t xml:space="preserve">Baseras på Beier, U., Degerman, E., Sers, B., Bergquist, B. &amp; M. Dahlberg 2007. Bedömningsgrunder för fiskfaunans status i rinnande vatten - utveckling och tillämpning av VIX. FINFO, Fiskeriverket Informerar, 2007:5. </t>
  </si>
  <si>
    <t>h_p_23 (p_VIXh_simpson)</t>
  </si>
  <si>
    <t>Uppdaterad</t>
  </si>
  <si>
    <t>14 - 15</t>
  </si>
  <si>
    <t>Ström</t>
  </si>
  <si>
    <t>Denna Excelapplikation är utvecklad av SLU Sötvattenslaboratoriet</t>
  </si>
  <si>
    <t>Status</t>
  </si>
  <si>
    <t>SpiggTotKlass</t>
  </si>
  <si>
    <t>LogTotalFiskind</t>
  </si>
  <si>
    <t>AntalMissgynnArter</t>
  </si>
  <si>
    <t>SimpaTotKlass</t>
  </si>
  <si>
    <t>NejonögaTotKlass</t>
  </si>
  <si>
    <t>ElritsaKlass</t>
  </si>
  <si>
    <t>TäthetGynnadeArter</t>
  </si>
  <si>
    <t>LogTäthetGynnArter</t>
  </si>
  <si>
    <t>AndelLogTäthetGynnade</t>
  </si>
  <si>
    <t>ÖringTotKlass</t>
  </si>
  <si>
    <t>GrönlingKlass</t>
  </si>
  <si>
    <t>LaxTotKlass</t>
  </si>
  <si>
    <t>BäckrödingTotKlass</t>
  </si>
  <si>
    <t>HarrTotKlass</t>
  </si>
  <si>
    <t>KanadarödingTotKlass</t>
  </si>
  <si>
    <t>RegnbågeTotKlass</t>
  </si>
  <si>
    <t>RödingTotKlass</t>
  </si>
  <si>
    <t>StämKlass</t>
  </si>
  <si>
    <t>VimmaKlass</t>
  </si>
  <si>
    <t>AntalRheofilaArter</t>
  </si>
  <si>
    <t>LogTäthetRheo</t>
  </si>
  <si>
    <t>AndelLogTäthetRheo</t>
  </si>
  <si>
    <t>LogÖring</t>
  </si>
  <si>
    <t>Fisktomt</t>
  </si>
  <si>
    <t>LogBredd</t>
  </si>
  <si>
    <t>LogExaktArea</t>
  </si>
  <si>
    <t>DivXKOOR</t>
  </si>
  <si>
    <t>DivYKOOR</t>
  </si>
  <si>
    <t>MedtempÅr5</t>
  </si>
  <si>
    <t>LogHoh</t>
  </si>
  <si>
    <t>Hav</t>
  </si>
  <si>
    <t>Insjö</t>
  </si>
  <si>
    <t>2 - 4</t>
  </si>
  <si>
    <t>4 - 6</t>
  </si>
  <si>
    <t>6 - 8</t>
  </si>
  <si>
    <t>8 - 10</t>
  </si>
  <si>
    <t>10 - 11</t>
  </si>
  <si>
    <t>11 - 12</t>
  </si>
  <si>
    <t>12 - 13</t>
  </si>
  <si>
    <t>13 - 14</t>
  </si>
  <si>
    <t>15 - 16</t>
  </si>
  <si>
    <t>16 - 17</t>
  </si>
  <si>
    <t>-2 - 0</t>
  </si>
  <si>
    <t>-4 - -2</t>
  </si>
  <si>
    <t>-6 - -4</t>
  </si>
  <si>
    <t>-8 - -6</t>
  </si>
  <si>
    <t>-10 - -8</t>
  </si>
  <si>
    <t>-12 - -10</t>
  </si>
  <si>
    <t>-14 - -12</t>
  </si>
  <si>
    <t>-16 - -14</t>
  </si>
  <si>
    <t>-18 - -16</t>
  </si>
  <si>
    <t>Medtjan</t>
  </si>
  <si>
    <t>KorrMedtempJan</t>
  </si>
  <si>
    <t>KorrMedtempJuli</t>
  </si>
  <si>
    <t>LogAvfiskadArea</t>
  </si>
  <si>
    <t>Vtyp2Klass</t>
  </si>
  <si>
    <t>AntalUtfisken</t>
  </si>
  <si>
    <t>AndelSjö</t>
  </si>
  <si>
    <t>HK</t>
  </si>
  <si>
    <t>Vattenhast</t>
  </si>
  <si>
    <t>Vhast</t>
  </si>
  <si>
    <t>Pred_öring</t>
  </si>
  <si>
    <t>Pred_täthet_rheofila</t>
  </si>
  <si>
    <t>Pred_täthet_gynnade</t>
  </si>
  <si>
    <t>Pred_andel_rheofila</t>
  </si>
  <si>
    <t>Pred_andel_gynnade</t>
  </si>
  <si>
    <t>Pred_antal_rheofila</t>
  </si>
  <si>
    <t>Pred_antal_missgynnade</t>
  </si>
  <si>
    <t>Resid_öring</t>
  </si>
  <si>
    <t>SDResid_öring</t>
  </si>
  <si>
    <t>P_SDResid_öring</t>
  </si>
  <si>
    <t>Resid_täthet_rheofila</t>
  </si>
  <si>
    <t>SDResid_täthet_rheofila</t>
  </si>
  <si>
    <t>P_SDResid_täthet_rheofila</t>
  </si>
  <si>
    <t>Resid_täthet_gynnade</t>
  </si>
  <si>
    <t>SDResid_täthet_gynnade</t>
  </si>
  <si>
    <t>P_SDResid_täthet_gynnade</t>
  </si>
  <si>
    <t>Resid_andel_rheofila</t>
  </si>
  <si>
    <t>SDResid_andel_rheofila</t>
  </si>
  <si>
    <t>P_SDResid_andel_rheofila</t>
  </si>
  <si>
    <t>Resid_andel_gynnade</t>
  </si>
  <si>
    <t>SDResid_andel_gynnade</t>
  </si>
  <si>
    <t>P_SDResid_andel_gynnade</t>
  </si>
  <si>
    <t>Resid_antal_rheofila</t>
  </si>
  <si>
    <t>SDResid_antal_rheofila</t>
  </si>
  <si>
    <t>P_SDResid_antal_rheofila</t>
  </si>
  <si>
    <t>Resid_antal_missgynnade</t>
  </si>
  <si>
    <t>SDResid_antal_missgynnade</t>
  </si>
  <si>
    <t>P_SDResid_antal_missgynnade</t>
  </si>
  <si>
    <t>VIXmorf</t>
  </si>
  <si>
    <t>VIX&lt;0,467 och morfologiskt påverkat enligt VIXmorf.</t>
  </si>
  <si>
    <t>VIX&lt;0,467 men ej morfologiskt påverkat enligt VIXmorf.</t>
  </si>
  <si>
    <t>VIX&lt;0,467 och fisktomt elfiskeresultat. VIXmorfberäkning ej pålitlig.</t>
  </si>
  <si>
    <t>VIXmorfPreliminär</t>
  </si>
  <si>
    <t>KommentarVIXmorf</t>
  </si>
  <si>
    <t>VIXpreliminär</t>
  </si>
  <si>
    <t>God/Hög ekologisk status enligt VIX. VIXmorf ej tillämpbart.</t>
  </si>
  <si>
    <t>Antal lax och öring/100m2 (nölax)</t>
  </si>
  <si>
    <t>Andel toleranta av täthet (nandtol)</t>
  </si>
  <si>
    <t>Andel litofila av täthet (nandlith)</t>
  </si>
  <si>
    <t>Andel toleranta arter (spproptol)</t>
  </si>
  <si>
    <t>Andel intoleranta arter (sppropint)</t>
  </si>
  <si>
    <t>Kvot reproducerande laxfiskarter (Kvot)</t>
  </si>
  <si>
    <t>Om omgivningsdata saknas kan dess fås genom att kontakta sers@slu.se</t>
  </si>
  <si>
    <t>Kommentar</t>
  </si>
  <si>
    <t>Värde</t>
  </si>
  <si>
    <t>Parameter (variabelnamn i datafiler)</t>
  </si>
  <si>
    <t>Lokalens namn (lokalnam)</t>
  </si>
  <si>
    <t>Lokalnummer (lokalnr)</t>
  </si>
  <si>
    <t>Lokalens x-koordinat RT90 (xkoorlok)</t>
  </si>
  <si>
    <t>Lokalens y-koordinat RT90 (ykoorlok)</t>
  </si>
  <si>
    <t>Höjd över havet (hoh)</t>
  </si>
  <si>
    <t>Andel (%) sjöar i avrinningsområdet (andsjopr)</t>
  </si>
  <si>
    <t>Avstånd till närmaste uppströms sjö (avstupp)</t>
  </si>
  <si>
    <t>Avstånd till närmaste nedströms sjö (avstner)</t>
  </si>
  <si>
    <t>Lokalens lutning (lutning_pr)</t>
  </si>
  <si>
    <t>Avrinningsområdets area uppströms lokalen (exaktarea)</t>
  </si>
  <si>
    <t>Lokalens läge i förhållande till högsta kustlinjen (HK)</t>
  </si>
  <si>
    <t>Fiskedatum (fiskedat)</t>
  </si>
  <si>
    <t>Vattendragets våta bredd (bredd)</t>
  </si>
  <si>
    <t>Lokalens area (area)</t>
  </si>
  <si>
    <t>Typ av öringpopulation (vtyp)</t>
  </si>
  <si>
    <t>Antal utfisken (antutfis)</t>
  </si>
  <si>
    <t>Vattenhastighet (vattenhast)</t>
  </si>
  <si>
    <t>Årsmedeltemperatur i luft vid lokalen (medtempar)</t>
  </si>
  <si>
    <t>Julimedeltemperatur i luft vid lokalen (medtjuli)</t>
  </si>
  <si>
    <t>Januarimedeltemperatur i luft vid lokalen (medtjan)</t>
  </si>
  <si>
    <t>Du får inte flytta värden genom att "dra" eller klippa och klistra i bladen. Detta gillar inte Excel och det blir värdefel i formlerna.</t>
  </si>
  <si>
    <t xml:space="preserve">OBS! Har du skrivit eller klistrat in fel värde eller på fel ställe: Ta bort genom att använda Delete och gör om. </t>
  </si>
  <si>
    <t>Klistra/skriv in antal/100m2 i rutfältet för de arter som förekommer i artlistan.</t>
  </si>
  <si>
    <t>Resultat</t>
  </si>
  <si>
    <t>Prediktion</t>
  </si>
  <si>
    <t>Parameter</t>
  </si>
  <si>
    <t>Antal öring+lax/100m2 (nölax)</t>
  </si>
  <si>
    <t>P-värde</t>
  </si>
  <si>
    <t>Andel toleranta individer (nandtol)</t>
  </si>
  <si>
    <t>Proportion toleranta arter (spproptol)</t>
  </si>
  <si>
    <t>Andel lithofila individer (nandlith)</t>
  </si>
  <si>
    <t>Proportion intoleranta arter (sppropint)</t>
  </si>
  <si>
    <t>Andel laxfiskarter med reproduktion (kvot)</t>
  </si>
  <si>
    <t>Klassgräns god-måttlig = 0,432</t>
  </si>
  <si>
    <t>VIX, huvudindex för generell påverkan</t>
  </si>
  <si>
    <t>VIXsm, sidoindex för försurningspåverkan</t>
  </si>
  <si>
    <t>Klassgräns god-måttlig = 0,434</t>
  </si>
  <si>
    <t>VIXh, sidoindex för hydrologisk påverkan</t>
  </si>
  <si>
    <t>VIXmorf, sidoindex för morfologisk påverkan</t>
  </si>
  <si>
    <t xml:space="preserve">VIXmod1, modifierad VIX där ål räknas som en </t>
  </si>
  <si>
    <t>art utan klassning av tolerans och lithofili</t>
  </si>
  <si>
    <t xml:space="preserve">VIXmod2, modifierad VIX där ål är borttagen </t>
  </si>
  <si>
    <t>ur fångsten</t>
  </si>
  <si>
    <t>Antal fångade arter</t>
  </si>
  <si>
    <t>VIX (klassgräns god-måttlig = 0,467)</t>
  </si>
  <si>
    <t>Predikterad standardavvikelse för VIX</t>
  </si>
  <si>
    <t>Sannolikhet att VIX hamnar på hög status</t>
  </si>
  <si>
    <t>Sannolikhet att VIX hamnar på god status</t>
  </si>
  <si>
    <t>Sannolikhet att VIX hamnar på måttlig status</t>
  </si>
  <si>
    <t>Sannolikhet att VIX hamnar på otillfredsställande status</t>
  </si>
  <si>
    <t>Sannolikhet att VIX hamnar på dålig status</t>
  </si>
  <si>
    <t>Skillnad i sannolikhet mellan god och måttlig status för VIX</t>
  </si>
  <si>
    <t>Sidoindex</t>
  </si>
  <si>
    <r>
      <t xml:space="preserve">Denna fil används för att beräkna VIX och dess sidoindex på </t>
    </r>
    <r>
      <rPr>
        <u/>
        <sz val="14"/>
        <color theme="1"/>
        <rFont val="Arial"/>
        <family val="2"/>
      </rPr>
      <t>ett</t>
    </r>
    <r>
      <rPr>
        <sz val="14"/>
        <color theme="1"/>
        <rFont val="Arial"/>
        <family val="2"/>
      </rPr>
      <t xml:space="preserve"> fiske.</t>
    </r>
  </si>
  <si>
    <t>Värden förs in i bladen "Metadata" och "Fångster". Resultaten visas i bladet "VIX".</t>
  </si>
  <si>
    <t>Dålig status pga att fisk saknas.</t>
  </si>
  <si>
    <t>Dålig status pga att fisk saknas. Kan vara naturligt fisktomt i små vattendrag. Kräver lokal kunskap för bedömning.</t>
  </si>
  <si>
    <t>Dålig status pga att fisk saknas. Kräfta fångades.</t>
  </si>
  <si>
    <t>Dålig status pga att fisk saknas. Kräfta fångades. Kan vara naturligt fisktomt i små vattendrag. Kräver lokal kunskap för bedömning.</t>
  </si>
  <si>
    <t>Omgivningsvariabler saknas</t>
  </si>
  <si>
    <t>Kan utelämnas.</t>
  </si>
  <si>
    <t>Lugn (1)</t>
  </si>
  <si>
    <t>Strömmande (2)</t>
  </si>
  <si>
    <t>Stråkande (3)</t>
  </si>
  <si>
    <t>&lt;10 (1)</t>
  </si>
  <si>
    <t>&lt;100 (2)</t>
  </si>
  <si>
    <t>&lt;1000 (3)</t>
  </si>
  <si>
    <t>&lt;10000 (4)</t>
  </si>
  <si>
    <t>&gt;10000 (5)</t>
  </si>
  <si>
    <t>&lt;01 (1)</t>
  </si>
  <si>
    <t>&lt;05 (2)</t>
  </si>
  <si>
    <t>&lt;10 (3)</t>
  </si>
  <si>
    <t>&gt;10 (4)</t>
  </si>
  <si>
    <t>Tidigare formel i AO7: OM(ELLER(X36=7;X36=8;X36=9;X36=10);AO6;"")</t>
  </si>
  <si>
    <t>Metadata saknades för beräkning av VIX.</t>
  </si>
  <si>
    <t>Metadata saknades för beräkning av VIX. VIXmorf ej tillämpbart.</t>
  </si>
  <si>
    <t>Metadata saknades för beräkning av VIXmorf.</t>
  </si>
  <si>
    <t>Avrinningsområdesklass km2 (avriomr)</t>
  </si>
  <si>
    <t>Laxfisk (obestämd, hybrid)</t>
  </si>
  <si>
    <t>Stubb (sand-, ler-)</t>
  </si>
  <si>
    <t>Svartmunnad smörbult</t>
  </si>
  <si>
    <t>Okänd/fel tid på året. VIX ska tolkas med försiktighet.</t>
  </si>
  <si>
    <t>Den kan också användas för att undersöka hur VIX förändras när fångster och/eller metadata ändras.</t>
  </si>
  <si>
    <t>Om man saknar omgivningsdata för lokal i SERS (Elfiskeregistret) kan dessa fås genom att kontakta sers@slu.se</t>
  </si>
  <si>
    <t>Sidoindex vid fångst av ål (VIXmod1 och VIXmod2): Näslund, J., Andersson, M. (2024). Bedömning av VattendragsIndeX (VIX) vid fångst av ål. Aqua reports 2024:6. Uppsala: Institutionen för akvatiska resurser. https://doi.org/10.54612/a.7c67793892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</si>
</sst>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2" fontId="0" fillId="0" borderId="0" xfId="0" applyNumberFormat="1" applyFill="1"/>
    <xf numFmtId="0" fontId="0" fillId="0" borderId="0" xfId="0" applyFill="1" applyBorder="1"/>
    <xf numFmtId="0" fontId="2" fillId="0" borderId="0" xfId="0" applyNumberFormat="1" applyFont="1" applyFill="1"/>
    <xf numFmtId="0" fontId="3" fillId="0" borderId="0" xfId="0" applyFont="1"/>
    <xf numFmtId="14" fontId="3" fillId="0" borderId="0" xfId="0" applyNumberFormat="1" applyFont="1"/>
    <xf numFmtId="2" fontId="2" fillId="0" borderId="0" xfId="0" applyNumberFormat="1" applyFont="1" applyFill="1"/>
    <xf numFmtId="0" fontId="0" fillId="0" borderId="0" xfId="0" applyNumberFormat="1" applyFill="1"/>
    <xf numFmtId="1" fontId="0" fillId="0" borderId="0" xfId="0" applyNumberFormat="1" applyFill="1"/>
    <xf numFmtId="0" fontId="2" fillId="0" borderId="0" xfId="0" applyFont="1" applyFill="1"/>
    <xf numFmtId="49" fontId="0" fillId="0" borderId="0" xfId="0" applyNumberFormat="1" applyFill="1"/>
    <xf numFmtId="0" fontId="0" fillId="0" borderId="0" xfId="0" applyProtection="1"/>
    <xf numFmtId="0" fontId="1" fillId="0" borderId="0" xfId="0" applyFont="1" applyProtection="1"/>
    <xf numFmtId="0" fontId="0" fillId="0" borderId="0" xfId="0" applyFill="1" applyBorder="1" applyProtection="1"/>
    <xf numFmtId="165" fontId="0" fillId="0" borderId="0" xfId="0" applyNumberFormat="1"/>
    <xf numFmtId="1" fontId="0" fillId="0" borderId="0" xfId="0" applyNumberFormat="1"/>
    <xf numFmtId="0" fontId="0" fillId="0" borderId="0" xfId="0" quotePrefix="1"/>
    <xf numFmtId="0" fontId="0" fillId="0" borderId="0" xfId="0" applyNumberFormat="1" applyFill="1" applyBorder="1"/>
    <xf numFmtId="0" fontId="0" fillId="0" borderId="0" xfId="0" applyNumberFormat="1"/>
    <xf numFmtId="49" fontId="0" fillId="0" borderId="0" xfId="0" applyNumberFormat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Fill="1" applyBorder="1" applyProtection="1"/>
    <xf numFmtId="1" fontId="0" fillId="0" borderId="0" xfId="0" applyNumberFormat="1" applyFill="1" applyBorder="1" applyProtection="1"/>
    <xf numFmtId="0" fontId="6" fillId="0" borderId="0" xfId="1" applyFont="1" applyFill="1" applyBorder="1" applyAlignment="1" applyProtection="1">
      <alignment horizontal="center" wrapText="1"/>
    </xf>
    <xf numFmtId="1" fontId="0" fillId="0" borderId="0" xfId="0" applyNumberForma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center" vertical="center"/>
    </xf>
    <xf numFmtId="1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hidden="1"/>
    </xf>
    <xf numFmtId="0" fontId="1" fillId="0" borderId="0" xfId="0" applyFont="1" applyFill="1" applyBorder="1"/>
    <xf numFmtId="0" fontId="0" fillId="0" borderId="1" xfId="0" applyFill="1" applyBorder="1"/>
    <xf numFmtId="0" fontId="0" fillId="0" borderId="0" xfId="0" applyProtection="1">
      <protection hidden="1"/>
    </xf>
    <xf numFmtId="16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1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6" fillId="2" borderId="0" xfId="1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49" fontId="0" fillId="0" borderId="0" xfId="0" applyNumberFormat="1"/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" fillId="0" borderId="0" xfId="0" applyNumberFormat="1" applyFont="1" applyFill="1" applyAlignment="1" applyProtection="1">
      <alignment horizontal="center"/>
      <protection hidden="1"/>
    </xf>
    <xf numFmtId="165" fontId="2" fillId="0" borderId="0" xfId="0" applyNumberFormat="1" applyFont="1" applyFill="1" applyAlignment="1" applyProtection="1">
      <alignment horizontal="center"/>
      <protection hidden="1"/>
    </xf>
    <xf numFmtId="0" fontId="2" fillId="2" borderId="0" xfId="0" applyNumberFormat="1" applyFont="1" applyFill="1" applyAlignment="1" applyProtection="1">
      <alignment horizontal="center"/>
      <protection hidden="1"/>
    </xf>
    <xf numFmtId="2" fontId="2" fillId="2" borderId="0" xfId="0" applyNumberFormat="1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</cellXfs>
  <cellStyles count="2">
    <cellStyle name="Normal" xfId="0" builtinId="0"/>
    <cellStyle name="Normal_Omgivningsdata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15</xdr:row>
      <xdr:rowOff>19050</xdr:rowOff>
    </xdr:from>
    <xdr:to>
      <xdr:col>5</xdr:col>
      <xdr:colOff>507552</xdr:colOff>
      <xdr:row>24</xdr:row>
      <xdr:rowOff>115301</xdr:rowOff>
    </xdr:to>
    <xdr:pic>
      <xdr:nvPicPr>
        <xdr:cNvPr id="2" name="Bildobjekt 1" descr="slu_logo_tillagg_avd_bl#66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3552825"/>
          <a:ext cx="3888927" cy="1725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showGridLines="0" tabSelected="1" workbookViewId="0"/>
  </sheetViews>
  <sheetFormatPr defaultRowHeight="14.25" x14ac:dyDescent="0.2"/>
  <cols>
    <col min="8" max="8" width="31.25" customWidth="1"/>
    <col min="9" max="11" width="13.75" bestFit="1" customWidth="1"/>
  </cols>
  <sheetData>
    <row r="2" spans="2:11" ht="18" x14ac:dyDescent="0.25">
      <c r="B2" s="7" t="s">
        <v>413</v>
      </c>
    </row>
    <row r="3" spans="2:11" ht="18" x14ac:dyDescent="0.25">
      <c r="B3" s="7"/>
    </row>
    <row r="4" spans="2:11" ht="18" x14ac:dyDescent="0.25">
      <c r="B4" s="7" t="s">
        <v>442</v>
      </c>
    </row>
    <row r="5" spans="2:11" ht="18" x14ac:dyDescent="0.25">
      <c r="B5" s="7"/>
    </row>
    <row r="6" spans="2:11" ht="18" x14ac:dyDescent="0.25">
      <c r="B6" s="7" t="s">
        <v>414</v>
      </c>
    </row>
    <row r="7" spans="2:11" ht="18" x14ac:dyDescent="0.25">
      <c r="B7" s="7"/>
    </row>
    <row r="8" spans="2:11" ht="18" x14ac:dyDescent="0.25">
      <c r="B8" s="7" t="s">
        <v>443</v>
      </c>
    </row>
    <row r="10" spans="2:11" ht="18" x14ac:dyDescent="0.25">
      <c r="B10" s="7" t="s">
        <v>246</v>
      </c>
    </row>
    <row r="11" spans="2:11" ht="18" x14ac:dyDescent="0.25">
      <c r="B11" s="7"/>
    </row>
    <row r="12" spans="2:11" ht="18" x14ac:dyDescent="0.25">
      <c r="B12" s="7" t="s">
        <v>444</v>
      </c>
    </row>
    <row r="13" spans="2:11" ht="18" x14ac:dyDescent="0.25">
      <c r="B13" s="7"/>
    </row>
    <row r="14" spans="2:11" ht="18" x14ac:dyDescent="0.25">
      <c r="B14" s="7" t="s">
        <v>251</v>
      </c>
      <c r="J14" s="7" t="s">
        <v>248</v>
      </c>
      <c r="K14" s="8">
        <v>45589</v>
      </c>
    </row>
  </sheetData>
  <sheetProtection algorithmName="SHA-512" hashValue="53QpCAowySjCe/7SPeTcUGmHItdCfvizxhxgo7/4dF3nGJzt9h/aa6oyx9eDt4PTRWL8xM/u9CnBwYK5yKVifg==" saltValue="R6iqhOoEf5kPEoNHgTPkC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showGridLines="0" workbookViewId="0">
      <selection activeCell="E8" sqref="E8"/>
    </sheetView>
  </sheetViews>
  <sheetFormatPr defaultRowHeight="14.25" x14ac:dyDescent="0.2"/>
  <cols>
    <col min="1" max="1" width="9" style="14"/>
    <col min="2" max="2" width="48.75" style="14" customWidth="1"/>
    <col min="3" max="3" width="18.5" style="14" customWidth="1"/>
    <col min="4" max="4" width="3.25" style="14" customWidth="1"/>
    <col min="5" max="5" width="95.75" style="14" customWidth="1"/>
    <col min="6" max="6" width="9" style="14"/>
    <col min="7" max="7" width="11.5" style="14" hidden="1" customWidth="1"/>
    <col min="8" max="8" width="11.375" style="14" hidden="1" customWidth="1"/>
    <col min="9" max="9" width="10.5" style="14" hidden="1" customWidth="1"/>
    <col min="10" max="10" width="9" style="14" hidden="1" customWidth="1"/>
    <col min="11" max="11" width="12" style="14" hidden="1" customWidth="1"/>
    <col min="12" max="12" width="9" style="14" hidden="1" customWidth="1"/>
    <col min="13" max="13" width="14.75" style="14" hidden="1" customWidth="1"/>
    <col min="14" max="14" width="9" style="14" hidden="1" customWidth="1"/>
    <col min="15" max="15" width="0" style="14" hidden="1" customWidth="1"/>
    <col min="16" max="27" width="9" style="14"/>
    <col min="28" max="28" width="9.75" style="14" bestFit="1" customWidth="1"/>
    <col min="29" max="16384" width="9" style="14"/>
  </cols>
  <sheetData>
    <row r="1" spans="2:14" x14ac:dyDescent="0.2">
      <c r="E1" s="22"/>
    </row>
    <row r="2" spans="2:14" ht="18" x14ac:dyDescent="0.25">
      <c r="B2" s="23" t="s">
        <v>356</v>
      </c>
    </row>
    <row r="3" spans="2:14" ht="18" x14ac:dyDescent="0.25">
      <c r="B3" s="23" t="s">
        <v>381</v>
      </c>
    </row>
    <row r="4" spans="2:14" ht="18" x14ac:dyDescent="0.25">
      <c r="B4" s="23" t="s">
        <v>380</v>
      </c>
    </row>
    <row r="6" spans="2:14" ht="15" x14ac:dyDescent="0.25">
      <c r="B6" s="15" t="s">
        <v>359</v>
      </c>
      <c r="C6" s="24" t="s">
        <v>358</v>
      </c>
      <c r="D6" s="24"/>
      <c r="E6" s="15" t="s">
        <v>357</v>
      </c>
    </row>
    <row r="8" spans="2:14" ht="20.100000000000001" customHeight="1" x14ac:dyDescent="0.2">
      <c r="B8" s="25" t="s">
        <v>360</v>
      </c>
      <c r="C8" s="42"/>
      <c r="D8" s="26"/>
      <c r="E8" s="37" t="s">
        <v>420</v>
      </c>
    </row>
    <row r="9" spans="2:14" ht="20.100000000000001" customHeight="1" x14ac:dyDescent="0.2">
      <c r="B9" s="25" t="s">
        <v>361</v>
      </c>
      <c r="C9" s="42"/>
      <c r="D9" s="26"/>
      <c r="E9" s="37" t="s">
        <v>420</v>
      </c>
      <c r="G9" s="16" t="s">
        <v>424</v>
      </c>
      <c r="H9" s="16" t="s">
        <v>429</v>
      </c>
      <c r="I9" s="16" t="s">
        <v>250</v>
      </c>
      <c r="J9" s="27" t="s">
        <v>285</v>
      </c>
      <c r="K9" s="27" t="s">
        <v>295</v>
      </c>
      <c r="L9" s="28">
        <v>0</v>
      </c>
      <c r="M9" s="16" t="s">
        <v>421</v>
      </c>
      <c r="N9" s="14">
        <v>1</v>
      </c>
    </row>
    <row r="10" spans="2:14" ht="20.100000000000001" customHeight="1" x14ac:dyDescent="0.3">
      <c r="B10" s="25" t="s">
        <v>362</v>
      </c>
      <c r="C10" s="52"/>
      <c r="D10" s="29"/>
      <c r="E10" s="37" t="str">
        <f>IF(OR(AND(C10&gt;610000,C10&lt;770000),C10=""),"Ska vara 6-siffrig. Obligatorisk för beräkning av VIXmorf men ej för beräkning av VIX.","Fel! Är koordinaten rätt? (6-siffrig, RT90)")</f>
        <v>Ska vara 6-siffrig. Obligatorisk för beräkning av VIXmorf men ej för beräkning av VIX.</v>
      </c>
      <c r="G10" s="16" t="s">
        <v>425</v>
      </c>
      <c r="H10" s="16" t="s">
        <v>430</v>
      </c>
      <c r="I10" s="16" t="s">
        <v>283</v>
      </c>
      <c r="J10" s="27" t="s">
        <v>286</v>
      </c>
      <c r="K10" s="27" t="s">
        <v>296</v>
      </c>
      <c r="L10" s="28">
        <v>1</v>
      </c>
      <c r="M10" s="16" t="s">
        <v>422</v>
      </c>
      <c r="N10" s="14">
        <v>2</v>
      </c>
    </row>
    <row r="11" spans="2:14" ht="20.100000000000001" customHeight="1" x14ac:dyDescent="0.2">
      <c r="B11" s="25" t="s">
        <v>363</v>
      </c>
      <c r="C11" s="43"/>
      <c r="D11" s="26"/>
      <c r="E11" s="37" t="str">
        <f>IF(OR(AND(C11&gt;120000,C11&lt;190000),C11=""),"Ska vara 6-siffrig. Obligatorisk för beräkning av VIXmorf men ej för beräkning av VIX.","Fel! Är koordinaten rätt? (6-siffrig, RT90)")</f>
        <v>Ska vara 6-siffrig. Obligatorisk för beräkning av VIXmorf men ej för beräkning av VIX.</v>
      </c>
      <c r="G11" s="16" t="s">
        <v>426</v>
      </c>
      <c r="H11" s="16" t="s">
        <v>431</v>
      </c>
      <c r="I11" s="16" t="s">
        <v>284</v>
      </c>
      <c r="J11" s="27" t="s">
        <v>287</v>
      </c>
      <c r="K11" s="27" t="s">
        <v>297</v>
      </c>
      <c r="M11" s="16" t="s">
        <v>423</v>
      </c>
      <c r="N11" s="14">
        <v>3</v>
      </c>
    </row>
    <row r="12" spans="2:14" ht="20.100000000000001" customHeight="1" x14ac:dyDescent="0.2">
      <c r="B12" s="25" t="s">
        <v>371</v>
      </c>
      <c r="C12" s="43"/>
      <c r="D12" s="30"/>
      <c r="E12" s="37" t="str">
        <f>IF(OR(AND(C12&gt;19500000,C12&lt;20300000),C12=""),"Ska vara 8-siffrig i talformat (ÅÅÅÅMMDD). Obligatorisk för beräkningarna.","Fel! Är formatet rätt? (8-siffrigt tal)")</f>
        <v>Ska vara 8-siffrig i talformat (ÅÅÅÅMMDD). Obligatorisk för beräkningarna.</v>
      </c>
      <c r="G12" s="16" t="s">
        <v>427</v>
      </c>
      <c r="H12" s="16" t="s">
        <v>432</v>
      </c>
      <c r="J12" s="27" t="s">
        <v>288</v>
      </c>
      <c r="K12" s="27" t="s">
        <v>298</v>
      </c>
      <c r="N12" s="14">
        <v>4</v>
      </c>
    </row>
    <row r="13" spans="2:14" ht="20.100000000000001" customHeight="1" x14ac:dyDescent="0.2">
      <c r="B13" s="25" t="s">
        <v>372</v>
      </c>
      <c r="C13" s="44"/>
      <c r="D13" s="31"/>
      <c r="E13" s="37" t="str">
        <f>IF(OR(AND(C13&gt;0.5,C13&lt;200),C13=""),"Anges i meter. OBS! INTE LOKALENS bredd om inte hela bredden avfiskades. Obligatorisk för beräkningarna.","Fel? Stämmer siffran?")</f>
        <v>Anges i meter. OBS! INTE LOKALENS bredd om inte hela bredden avfiskades. Obligatorisk för beräkningarna.</v>
      </c>
      <c r="G13" s="16" t="s">
        <v>428</v>
      </c>
      <c r="J13" s="22" t="s">
        <v>289</v>
      </c>
      <c r="K13" s="22" t="s">
        <v>299</v>
      </c>
    </row>
    <row r="14" spans="2:14" ht="20.100000000000001" customHeight="1" x14ac:dyDescent="0.2">
      <c r="B14" s="25" t="s">
        <v>373</v>
      </c>
      <c r="C14" s="43"/>
      <c r="D14" s="31"/>
      <c r="E14" s="37" t="str">
        <f>IF(OR(AND(C14&gt;10,C14&lt;2000),C14=""),"Anges i kvadratmeter. Obligatorisk för beräkningarna.","Fel? Stämmer siffran?")</f>
        <v>Anges i kvadratmeter. Obligatorisk för beräkningarna.</v>
      </c>
      <c r="J14" s="22" t="s">
        <v>290</v>
      </c>
      <c r="K14" s="22" t="s">
        <v>300</v>
      </c>
    </row>
    <row r="15" spans="2:14" ht="20.100000000000001" customHeight="1" x14ac:dyDescent="0.2">
      <c r="B15" s="25" t="s">
        <v>374</v>
      </c>
      <c r="C15" s="45"/>
      <c r="D15" s="32"/>
      <c r="E15" s="37" t="str">
        <f>IF(OR(C15=I9,C15=I10,C15=I11,C15=""),"Välj från listan i cellen. Strömlevande, havs- eller insjövandrande. Obligatorisk för beräkningarna.","Fel! Ångra och välj från listan i cellen.")</f>
        <v>Välj från listan i cellen. Strömlevande, havs- eller insjövandrande. Obligatorisk för beräkningarna.</v>
      </c>
      <c r="J15" s="22" t="s">
        <v>291</v>
      </c>
      <c r="K15" s="22" t="s">
        <v>301</v>
      </c>
    </row>
    <row r="16" spans="2:14" ht="20.100000000000001" customHeight="1" x14ac:dyDescent="0.2">
      <c r="B16" s="25" t="s">
        <v>375</v>
      </c>
      <c r="C16" s="43"/>
      <c r="D16" s="30"/>
      <c r="E16" s="37" t="str">
        <f>IF(OR(C16=N9,C16=N10,C16=N11,C16=N12,C16=""),"Välj från listan i cellen. Obligatorisk för beräkning av VIXmorf men ej för beräkning av VIX.","Fel! Ångra och välj från listan i cellen.")</f>
        <v>Välj från listan i cellen. Obligatorisk för beräkning av VIXmorf men ej för beräkning av VIX.</v>
      </c>
      <c r="J16" s="22" t="s">
        <v>292</v>
      </c>
      <c r="K16" s="22" t="s">
        <v>302</v>
      </c>
    </row>
    <row r="17" spans="2:11" ht="20.100000000000001" customHeight="1" x14ac:dyDescent="0.2">
      <c r="B17" s="25" t="s">
        <v>376</v>
      </c>
      <c r="C17" s="42"/>
      <c r="D17" s="26"/>
      <c r="E17" s="37" t="str">
        <f>IF(OR(C17=M9,C17=M10,C17=M11,C17=""),"Välj från listan i cellen (klassning inom parentes). Obligatorisk för beräkning av VIXmorf men ej för beräkning av VIX.","Fel! Ångra och välj från listan i cellen.")</f>
        <v>Välj från listan i cellen (klassning inom parentes). Obligatorisk för beräkning av VIXmorf men ej för beräkning av VIX.</v>
      </c>
      <c r="J17" s="22" t="s">
        <v>249</v>
      </c>
      <c r="K17" s="22" t="s">
        <v>303</v>
      </c>
    </row>
    <row r="18" spans="2:11" ht="20.100000000000001" customHeight="1" x14ac:dyDescent="0.2">
      <c r="B18" s="25" t="s">
        <v>364</v>
      </c>
      <c r="C18" s="43"/>
      <c r="D18" s="30"/>
      <c r="E18" s="37" t="str">
        <f>IF(OR(AND(C18&gt;0,C18&lt;1500),C18=""),"Anges i meter. Obligatorisk för beräkningarna.","Fel? Stämmer siffran?")</f>
        <v>Anges i meter. Obligatorisk för beräkningarna.</v>
      </c>
      <c r="J18" s="22" t="s">
        <v>293</v>
      </c>
    </row>
    <row r="19" spans="2:11" ht="20.100000000000001" customHeight="1" x14ac:dyDescent="0.2">
      <c r="B19" s="25" t="s">
        <v>437</v>
      </c>
      <c r="C19" s="42"/>
      <c r="D19" s="26"/>
      <c r="E19" s="37" t="str">
        <f>IF(OR(C19=G9,C19=G10,C19=G11,C19=G12,C19=G13,C19=""),"Välj från listan i cellen (klassning inom parentes). Obligatorisk för beräkningarna.","Fel! Ångra och välj från listan i cellen.")</f>
        <v>Välj från listan i cellen (klassning inom parentes). Obligatorisk för beräkningarna.</v>
      </c>
      <c r="J19" s="22" t="s">
        <v>294</v>
      </c>
    </row>
    <row r="20" spans="2:11" ht="20.100000000000001" customHeight="1" x14ac:dyDescent="0.2">
      <c r="B20" s="25" t="s">
        <v>365</v>
      </c>
      <c r="C20" s="42"/>
      <c r="D20" s="26"/>
      <c r="E20" s="37" t="str">
        <f>IF(OR(C20=H9,C20=H10,C20=H11,C20=H12,C20=""),"Välj från listan i cellen (klassning inom parentes). Obligatorisk för beräkningarna.","Fel! Ångra och välj från listan i cellen.")</f>
        <v>Välj från listan i cellen (klassning inom parentes). Obligatorisk för beräkningarna.</v>
      </c>
    </row>
    <row r="21" spans="2:11" ht="20.100000000000001" customHeight="1" x14ac:dyDescent="0.2">
      <c r="B21" s="25" t="s">
        <v>366</v>
      </c>
      <c r="C21" s="44"/>
      <c r="D21" s="31"/>
      <c r="E21" s="37" t="str">
        <f>IF(OR(AND(C21&gt;0,C21&lt;20),C21=""),"Anges i kilometer. Obligatorisk för beräkningarna.","Fel? Stämmer siffran?")</f>
        <v>Anges i kilometer. Obligatorisk för beräkningarna.</v>
      </c>
    </row>
    <row r="22" spans="2:11" ht="20.100000000000001" customHeight="1" x14ac:dyDescent="0.2">
      <c r="B22" s="25" t="s">
        <v>367</v>
      </c>
      <c r="C22" s="44"/>
      <c r="D22" s="31"/>
      <c r="E22" s="37" t="str">
        <f>IF(OR(AND(C22&gt;0,C22&lt;20),C22=""),"Anges i kilometer. Obligatorisk för beräkningarna.","Fel? Stämmer siffran?")</f>
        <v>Anges i kilometer. Obligatorisk för beräkningarna.</v>
      </c>
    </row>
    <row r="23" spans="2:11" ht="20.100000000000001" customHeight="1" x14ac:dyDescent="0.2">
      <c r="B23" s="25" t="s">
        <v>368</v>
      </c>
      <c r="C23" s="46"/>
      <c r="D23" s="33"/>
      <c r="E23" s="37" t="str">
        <f>IF(OR(AND(C23&gt;0,C23&lt;10),C23=""),"Anges i procent. Obligatorisk för beräkningarna.","Fel? Stämmer siffran?")</f>
        <v>Anges i procent. Obligatorisk för beräkningarna.</v>
      </c>
    </row>
    <row r="24" spans="2:11" ht="20.100000000000001" customHeight="1" x14ac:dyDescent="0.2">
      <c r="B24" s="25" t="s">
        <v>369</v>
      </c>
      <c r="C24" s="46"/>
      <c r="D24" s="31"/>
      <c r="E24" s="37" t="str">
        <f>IF(OR(AND(C24&gt;0.1,C24&lt;50000),C24=""),"Anges i kvadratkilometer. Obligatorisk för beräkning av VIXmorf men ej för beräkning av VIX.","Fel? Stämmer siffran?")</f>
        <v>Anges i kvadratkilometer. Obligatorisk för beräkning av VIXmorf men ej för beräkning av VIX.</v>
      </c>
    </row>
    <row r="25" spans="2:11" ht="20.100000000000001" customHeight="1" x14ac:dyDescent="0.2">
      <c r="B25" s="25" t="s">
        <v>370</v>
      </c>
      <c r="C25" s="42"/>
      <c r="D25" s="26"/>
      <c r="E25" s="37" t="str">
        <f>IF(OR(C25=L9,C25=L10,C25=""),"Välj från listan i cellen. Över (1) eller under (0) HK. Obligatorisk för beräkning av VIXmorf men ej för beräkning av VIX.","Fel! Ångra och välj från listan i cellen.")</f>
        <v>Välj från listan i cellen. Över (1) eller under (0) HK. Obligatorisk för beräkning av VIXmorf men ej för beräkning av VIX.</v>
      </c>
    </row>
    <row r="26" spans="2:11" ht="20.100000000000001" customHeight="1" x14ac:dyDescent="0.2">
      <c r="B26" s="25" t="s">
        <v>377</v>
      </c>
      <c r="C26" s="47"/>
      <c r="D26" s="34"/>
      <c r="E26" s="37" t="str">
        <f>IF(OR(AND(C26&gt;-5,C26&lt;10),C26=""),"Anges i grader C. Obligatorisk för beräkningarna.","Fel? Stämmer siffran?")</f>
        <v>Anges i grader C. Obligatorisk för beräkningarna.</v>
      </c>
    </row>
    <row r="27" spans="2:11" ht="20.100000000000001" customHeight="1" x14ac:dyDescent="0.2">
      <c r="B27" s="25" t="s">
        <v>378</v>
      </c>
      <c r="C27" s="48"/>
      <c r="D27" s="35"/>
      <c r="E27" s="37" t="str">
        <f>IF(OR(C27=J9,C27=J10,C27=J11,C27=J12,C27=J13,C27=J14,C27=J15,C27=J16,C27=J17,C27=J18,C27=J19,C27=""),"Välj från listan i cellen. Obligatorisk för beräkningarna.","Fel! Ångra och välj från listan i cellen.")</f>
        <v>Välj från listan i cellen. Obligatorisk för beräkningarna.</v>
      </c>
    </row>
    <row r="28" spans="2:11" ht="20.100000000000001" customHeight="1" x14ac:dyDescent="0.2">
      <c r="B28" s="25" t="s">
        <v>379</v>
      </c>
      <c r="C28" s="42"/>
      <c r="D28" s="26"/>
      <c r="E28" s="37" t="str">
        <f>IF(OR(C28=K9,C28=K10,C28=K11,C28=K12,C28=K13,C28=K14,C28=K15,C28=K16,C28=K17,C28=""),"Välj från listan i cellen. Obligatorisk för beräkning av VIXmorf men ej för beräkning av VIX.","Fel! Ångra och välj från listan i cellen.")</f>
        <v>Välj från listan i cellen. Obligatorisk för beräkning av VIXmorf men ej för beräkning av VIX.</v>
      </c>
    </row>
    <row r="29" spans="2:11" ht="20.100000000000001" customHeight="1" x14ac:dyDescent="0.2"/>
    <row r="32" spans="2:11" x14ac:dyDescent="0.2">
      <c r="E32" s="36"/>
    </row>
  </sheetData>
  <sheetProtection algorithmName="SHA-512" hashValue="3vCZU1duvIvpZnjmrergZhYAKsxjm0mWsiKopPa5L5DWVrSJBYA+zBpZmcPB2PkltNHWMIKqktFJHb/dpepXbg==" saltValue="FWrCatFupIyTfKCL1TIaLg==" spinCount="100000" sheet="1" objects="1" scenarios="1"/>
  <conditionalFormatting sqref="E10:E15">
    <cfRule type="containsText" dxfId="25" priority="16" operator="containsText" text="fel">
      <formula>NOT(ISERROR(SEARCH("fel",E10)))</formula>
    </cfRule>
  </conditionalFormatting>
  <conditionalFormatting sqref="E16">
    <cfRule type="containsText" dxfId="24" priority="14" operator="containsText" text="Fel">
      <formula>NOT(ISERROR(SEARCH("Fel",E16)))</formula>
    </cfRule>
  </conditionalFormatting>
  <conditionalFormatting sqref="E17">
    <cfRule type="containsText" dxfId="23" priority="13" operator="containsText" text="Fel">
      <formula>NOT(ISERROR(SEARCH("Fel",E17)))</formula>
    </cfRule>
  </conditionalFormatting>
  <conditionalFormatting sqref="E18">
    <cfRule type="containsText" dxfId="22" priority="12" operator="containsText" text="Fel">
      <formula>NOT(ISERROR(SEARCH("Fel",E18)))</formula>
    </cfRule>
  </conditionalFormatting>
  <conditionalFormatting sqref="E19:E20">
    <cfRule type="containsText" dxfId="21" priority="11" operator="containsText" text="Fel">
      <formula>NOT(ISERROR(SEARCH("Fel",E19)))</formula>
    </cfRule>
  </conditionalFormatting>
  <conditionalFormatting sqref="E21:E23">
    <cfRule type="containsText" dxfId="20" priority="4" operator="containsText" text="fel">
      <formula>NOT(ISERROR(SEARCH("fel",E21)))</formula>
    </cfRule>
    <cfRule type="containsText" dxfId="19" priority="10" operator="containsText" text="Fel">
      <formula>NOT(ISERROR(SEARCH("Fel",E21)))</formula>
    </cfRule>
  </conditionalFormatting>
  <conditionalFormatting sqref="E25">
    <cfRule type="containsText" dxfId="18" priority="8" operator="containsText" text="Fel">
      <formula>NOT(ISERROR(SEARCH("Fel",E25)))</formula>
    </cfRule>
  </conditionalFormatting>
  <conditionalFormatting sqref="E26">
    <cfRule type="containsText" dxfId="17" priority="18" operator="containsText" text="fel">
      <formula>NOT(ISERROR(SEARCH("fel",E26)))</formula>
    </cfRule>
  </conditionalFormatting>
  <conditionalFormatting sqref="E27">
    <cfRule type="containsText" dxfId="16" priority="6" operator="containsText" text="Fel">
      <formula>NOT(ISERROR(SEARCH("Fel",E27)))</formula>
    </cfRule>
  </conditionalFormatting>
  <conditionalFormatting sqref="E28">
    <cfRule type="containsText" dxfId="15" priority="5" operator="containsText" text="Fel">
      <formula>NOT(ISERROR(SEARCH("Fel",E28)))</formula>
    </cfRule>
  </conditionalFormatting>
  <conditionalFormatting sqref="E10:E14">
    <cfRule type="containsText" dxfId="14" priority="3" operator="containsText" text="fel">
      <formula>NOT(ISERROR(SEARCH("fel",E10)))</formula>
    </cfRule>
  </conditionalFormatting>
  <conditionalFormatting sqref="E18 E10:E14 E21:E23">
    <cfRule type="containsText" dxfId="13" priority="2" operator="containsText" text="fel">
      <formula>NOT(ISERROR(SEARCH("fel",E10)))</formula>
    </cfRule>
  </conditionalFormatting>
  <conditionalFormatting sqref="E24">
    <cfRule type="containsText" dxfId="12" priority="1" operator="containsText" text="fel">
      <formula>NOT(ISERROR(SEARCH("fel",E24)))</formula>
    </cfRule>
  </conditionalFormatting>
  <dataValidations count="14">
    <dataValidation type="list" allowBlank="1" showInputMessage="1" showErrorMessage="1" sqref="C15">
      <formula1>$I$8:$I$11</formula1>
    </dataValidation>
    <dataValidation type="list" allowBlank="1" showInputMessage="1" showErrorMessage="1" sqref="C16">
      <formula1>$N$8:$N$12</formula1>
    </dataValidation>
    <dataValidation type="list" allowBlank="1" showInputMessage="1" showErrorMessage="1" sqref="C17">
      <formula1>$M$8:$M$11</formula1>
    </dataValidation>
    <dataValidation type="list" allowBlank="1" showInputMessage="1" showErrorMessage="1" sqref="C19">
      <formula1>$G$8:$G$13</formula1>
    </dataValidation>
    <dataValidation type="list" allowBlank="1" showInputMessage="1" showErrorMessage="1" sqref="C20">
      <formula1>$H$8:$H$12</formula1>
    </dataValidation>
    <dataValidation type="list" allowBlank="1" showInputMessage="1" showErrorMessage="1" sqref="C25">
      <formula1>$L$8:$L$10</formula1>
    </dataValidation>
    <dataValidation type="whole" allowBlank="1" showInputMessage="1" showErrorMessage="1" error="Ska vara negativt eller positivt heltal" sqref="C26">
      <formula1>-1000</formula1>
      <formula2>1000</formula2>
    </dataValidation>
    <dataValidation type="list" allowBlank="1" showInputMessage="1" showErrorMessage="1" sqref="C27">
      <formula1>$J$8:$J$19</formula1>
    </dataValidation>
    <dataValidation type="list" allowBlank="1" showInputMessage="1" showErrorMessage="1" sqref="C28">
      <formula1>$K$8:$K$17</formula1>
    </dataValidation>
    <dataValidation type="whole" allowBlank="1" showInputMessage="1" showErrorMessage="1" error="Ska vara positivt heltal" sqref="C10:C12">
      <formula1>0</formula1>
      <formula2>999999999</formula2>
    </dataValidation>
    <dataValidation type="decimal" allowBlank="1" showInputMessage="1" showErrorMessage="1" error="Ska vara positivt tal" sqref="C13">
      <formula1>0</formula1>
      <formula2>10000</formula2>
    </dataValidation>
    <dataValidation type="whole" allowBlank="1" showInputMessage="1" showErrorMessage="1" error="Ska vara positivt heltal" sqref="C14">
      <formula1>0</formula1>
      <formula2>100000</formula2>
    </dataValidation>
    <dataValidation type="whole" allowBlank="1" showInputMessage="1" showErrorMessage="1" error="Ska vara positivt heltal" sqref="C18">
      <formula1>0</formula1>
      <formula2>2000</formula2>
    </dataValidation>
    <dataValidation type="decimal" allowBlank="1" showInputMessage="1" showErrorMessage="1" error="Ska vara positivt tal" sqref="C21:C24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63"/>
  <sheetViews>
    <sheetView showGridLines="0" workbookViewId="0"/>
  </sheetViews>
  <sheetFormatPr defaultRowHeight="14.25" x14ac:dyDescent="0.2"/>
  <cols>
    <col min="2" max="2" width="22.625" style="1" customWidth="1"/>
    <col min="3" max="4" width="9" style="1"/>
    <col min="5" max="5" width="25.625" style="1" customWidth="1"/>
    <col min="6" max="13" width="9" style="1" hidden="1" customWidth="1"/>
    <col min="14" max="22" width="9" hidden="1" customWidth="1"/>
    <col min="23" max="23" width="15.875" hidden="1" customWidth="1"/>
    <col min="24" max="24" width="10.75" hidden="1" customWidth="1"/>
    <col min="25" max="25" width="9" hidden="1" customWidth="1"/>
    <col min="26" max="26" width="11.625" hidden="1" customWidth="1"/>
    <col min="27" max="27" width="9.875" style="1" hidden="1" customWidth="1"/>
    <col min="28" max="28" width="15" hidden="1" customWidth="1"/>
    <col min="29" max="29" width="12.125" hidden="1" customWidth="1"/>
    <col min="30" max="30" width="9" hidden="1" customWidth="1"/>
    <col min="31" max="31" width="12.125" hidden="1" customWidth="1"/>
    <col min="32" max="33" width="9" hidden="1" customWidth="1"/>
    <col min="34" max="34" width="23.5" hidden="1" customWidth="1"/>
    <col min="35" max="35" width="12.25" hidden="1" customWidth="1"/>
    <col min="36" max="36" width="9" hidden="1" customWidth="1"/>
    <col min="37" max="37" width="14.75" hidden="1" customWidth="1"/>
    <col min="38" max="38" width="12.25" hidden="1" customWidth="1"/>
    <col min="39" max="39" width="9" hidden="1" customWidth="1"/>
    <col min="40" max="40" width="15.25" hidden="1" customWidth="1"/>
    <col min="41" max="42" width="9" hidden="1" customWidth="1"/>
    <col min="43" max="43" width="28.5" hidden="1" customWidth="1"/>
    <col min="44" max="44" width="105.75" hidden="1" customWidth="1"/>
    <col min="45" max="45" width="9" hidden="1" customWidth="1"/>
    <col min="46" max="46" width="9" customWidth="1"/>
  </cols>
  <sheetData>
    <row r="2" spans="2:44" ht="18" x14ac:dyDescent="0.25">
      <c r="B2" s="7" t="s">
        <v>382</v>
      </c>
    </row>
    <row r="3" spans="2:44" ht="18" x14ac:dyDescent="0.25">
      <c r="B3" s="23" t="s">
        <v>381</v>
      </c>
      <c r="AN3" t="s">
        <v>433</v>
      </c>
    </row>
    <row r="4" spans="2:44" ht="18" x14ac:dyDescent="0.25">
      <c r="B4" s="23" t="s">
        <v>380</v>
      </c>
      <c r="AI4" s="4"/>
    </row>
    <row r="5" spans="2:44" ht="15" x14ac:dyDescent="0.25">
      <c r="AB5" s="3" t="s">
        <v>46</v>
      </c>
      <c r="AE5" s="3" t="s">
        <v>102</v>
      </c>
      <c r="AH5" s="3" t="s">
        <v>144</v>
      </c>
      <c r="AK5" s="3" t="s">
        <v>165</v>
      </c>
      <c r="AN5" s="3" t="s">
        <v>171</v>
      </c>
      <c r="AQ5" s="3" t="s">
        <v>204</v>
      </c>
    </row>
    <row r="6" spans="2:44" ht="15" x14ac:dyDescent="0.25">
      <c r="B6" s="2" t="s">
        <v>1</v>
      </c>
      <c r="C6" s="38" t="s">
        <v>2</v>
      </c>
      <c r="D6" s="38" t="s">
        <v>3</v>
      </c>
      <c r="E6" s="38"/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1" t="s">
        <v>38</v>
      </c>
      <c r="N6" s="1" t="s">
        <v>43</v>
      </c>
      <c r="O6" s="1" t="s">
        <v>43</v>
      </c>
      <c r="P6" s="1" t="s">
        <v>44</v>
      </c>
      <c r="Q6" s="1" t="s">
        <v>45</v>
      </c>
      <c r="R6" t="s">
        <v>5</v>
      </c>
      <c r="U6" t="s">
        <v>6</v>
      </c>
      <c r="X6" s="1" t="str">
        <f>IF(Metadata!C15="","",Metadata!C15)</f>
        <v/>
      </c>
      <c r="Y6" s="1"/>
      <c r="Z6" s="1" t="s">
        <v>42</v>
      </c>
      <c r="AB6" s="1" t="s">
        <v>55</v>
      </c>
      <c r="AC6" s="1">
        <f>LOG10(X14+1)</f>
        <v>0</v>
      </c>
      <c r="AD6" s="1"/>
      <c r="AE6" s="1" t="s">
        <v>103</v>
      </c>
      <c r="AF6" s="1" t="e">
        <f>1.66116091793142+(1.488473442075*AC43)+(-1.39342892495772*AC16)+(0.24959604363756*AC40)+(-0.0436095450966362*AC41)+(0.0969550490237131*AC42)+(-0.818353424505666*AC30)</f>
        <v>#VALUE!</v>
      </c>
      <c r="AG6" s="1"/>
      <c r="AH6" s="1" t="s">
        <v>222</v>
      </c>
      <c r="AI6" s="10" t="str">
        <f>IF(OR(AR17="Ja",X22=0),"",NORMSDIST(AF45))</f>
        <v/>
      </c>
      <c r="AK6" t="s">
        <v>166</v>
      </c>
      <c r="AL6" s="1" t="e">
        <f>AVERAGE(AI6:AI11)</f>
        <v>#DIV/0!</v>
      </c>
      <c r="AM6" s="1"/>
      <c r="AN6" s="1" t="s">
        <v>170</v>
      </c>
      <c r="AO6" s="1" t="str">
        <f>IF(AL12="","",IF(AL12&lt;0.0813,5,IF(AL12&lt;0.27403,4,IF(AL12&lt;0.46675,3,IF(AL12&lt;0.7492,2,1)))))</f>
        <v/>
      </c>
      <c r="AP6" s="1"/>
      <c r="AQ6" s="1">
        <v>0</v>
      </c>
      <c r="AR6" s="1" t="s">
        <v>206</v>
      </c>
    </row>
    <row r="7" spans="2:44" ht="15" customHeight="1" x14ac:dyDescent="0.2">
      <c r="B7" s="39" t="s">
        <v>4</v>
      </c>
      <c r="C7" s="41">
        <v>0</v>
      </c>
      <c r="D7" s="41">
        <v>0</v>
      </c>
      <c r="E7" s="40" t="str">
        <f>IF(OR(C7&lt;0,D7&lt;0,C7="",D7=""),"Ska vara 0 eller positiva tal.","")</f>
        <v/>
      </c>
      <c r="F7" s="5">
        <v>1</v>
      </c>
      <c r="H7" s="1">
        <v>1</v>
      </c>
      <c r="I7" s="1">
        <v>1</v>
      </c>
      <c r="J7" s="1">
        <f t="shared" ref="J7:J33" si="0">R7*F7</f>
        <v>0</v>
      </c>
      <c r="K7" s="1">
        <f t="shared" ref="K7:K33" si="1">R7*G7</f>
        <v>0</v>
      </c>
      <c r="L7" s="1">
        <f t="shared" ref="L7:L33" si="2">R7*I7</f>
        <v>0</v>
      </c>
      <c r="M7" s="1">
        <f t="shared" ref="M7:M33" si="3">R7*H7</f>
        <v>0</v>
      </c>
      <c r="N7" s="1">
        <f t="shared" ref="N7:N34" si="4">IF(C7&lt;0,0,IF(C7="",0,C7))</f>
        <v>0</v>
      </c>
      <c r="O7" s="1">
        <f t="shared" ref="O7:O34" si="5">IF(D7&lt;0,0,IF(D7="",0,D7))</f>
        <v>0</v>
      </c>
      <c r="P7" s="1">
        <f t="shared" ref="P7" si="6">IF(R7&gt;0,1,0)</f>
        <v>0</v>
      </c>
      <c r="Q7" s="1">
        <f>IF(D7&gt;0,1,0)</f>
        <v>0</v>
      </c>
      <c r="R7" s="1">
        <f t="shared" ref="R7:R32" si="7">N7+O7</f>
        <v>0</v>
      </c>
      <c r="X7" s="1"/>
      <c r="Y7" s="1"/>
      <c r="Z7" s="1" t="e">
        <f t="shared" ref="Z7:Z34" si="8">POWER(R7/$X$8,2)</f>
        <v>#DIV/0!</v>
      </c>
      <c r="AB7" s="1" t="s">
        <v>56</v>
      </c>
      <c r="AC7" s="1">
        <f>ASIN(SQRT(X30))</f>
        <v>0</v>
      </c>
      <c r="AD7" s="1"/>
      <c r="AE7" s="1" t="s">
        <v>104</v>
      </c>
      <c r="AF7" s="1" t="e">
        <f>AC6-AF6</f>
        <v>#VALUE!</v>
      </c>
      <c r="AG7" s="1"/>
      <c r="AH7" s="1" t="s">
        <v>223</v>
      </c>
      <c r="AI7" s="1" t="str">
        <f>IF(OR(AR17="Ja",X22=0),"",1-NORMSDIST(AF44))</f>
        <v/>
      </c>
      <c r="AK7" t="s">
        <v>228</v>
      </c>
      <c r="AL7" s="1" t="str">
        <f>IF(AR17="Ja","",IF(X22&gt;0,AVERAGE(AI12:AI15),AL12))</f>
        <v/>
      </c>
      <c r="AM7" s="1"/>
      <c r="AN7" s="1" t="s">
        <v>231</v>
      </c>
      <c r="AO7" s="1" t="str">
        <f>AO6</f>
        <v/>
      </c>
      <c r="AP7" s="1"/>
      <c r="AQ7" s="1">
        <v>1</v>
      </c>
      <c r="AR7" s="1" t="s">
        <v>207</v>
      </c>
    </row>
    <row r="8" spans="2:44" ht="15" customHeight="1" x14ac:dyDescent="0.2">
      <c r="B8" s="39" t="s">
        <v>172</v>
      </c>
      <c r="C8" s="41">
        <v>0</v>
      </c>
      <c r="D8" s="41">
        <v>0</v>
      </c>
      <c r="E8" s="40" t="str">
        <f t="shared" ref="E8:E34" si="9">IF(OR(C8&lt;0,D8&lt;0,C8="",D8=""),"Ska vara 0 eller positiva tal.","")</f>
        <v/>
      </c>
      <c r="F8" s="5"/>
      <c r="H8" s="1">
        <v>1</v>
      </c>
      <c r="J8" s="1">
        <f t="shared" si="0"/>
        <v>0</v>
      </c>
      <c r="K8" s="1">
        <f t="shared" si="1"/>
        <v>0</v>
      </c>
      <c r="L8" s="1">
        <f t="shared" si="2"/>
        <v>0</v>
      </c>
      <c r="M8" s="1">
        <f t="shared" si="3"/>
        <v>0</v>
      </c>
      <c r="N8" s="1">
        <f t="shared" si="4"/>
        <v>0</v>
      </c>
      <c r="O8" s="1">
        <f t="shared" si="5"/>
        <v>0</v>
      </c>
      <c r="P8" s="1"/>
      <c r="Q8" s="1"/>
      <c r="R8" s="1">
        <f t="shared" si="7"/>
        <v>0</v>
      </c>
      <c r="U8" t="s">
        <v>218</v>
      </c>
      <c r="X8" s="1">
        <f>SUM(R7:R59)</f>
        <v>0</v>
      </c>
      <c r="Y8" s="1"/>
      <c r="Z8" s="1" t="e">
        <f t="shared" si="8"/>
        <v>#DIV/0!</v>
      </c>
      <c r="AB8" s="1" t="s">
        <v>57</v>
      </c>
      <c r="AC8" s="1">
        <f>ASIN(SQRT(X28))</f>
        <v>0</v>
      </c>
      <c r="AD8" s="1"/>
      <c r="AE8" s="1" t="s">
        <v>105</v>
      </c>
      <c r="AF8" s="1" t="e">
        <f>AF7/0.50796424520713</f>
        <v>#VALUE!</v>
      </c>
      <c r="AG8" s="1"/>
      <c r="AH8" s="1" t="s">
        <v>224</v>
      </c>
      <c r="AI8" s="1" t="str">
        <f>IF(OR(AR17="Ja",X22=0),"",NORMSDIST(AF46))</f>
        <v/>
      </c>
      <c r="AK8" t="s">
        <v>167</v>
      </c>
      <c r="AL8" s="1" t="str">
        <f>IF(X22&gt;0,AVERAGE(AI16:AI21),AL12)</f>
        <v/>
      </c>
      <c r="AM8" s="1"/>
      <c r="AN8" s="1" t="s">
        <v>232</v>
      </c>
      <c r="AO8" s="1" t="str">
        <f>IF(AND(X22&gt;0,AC24&lt;800),AO6,AO7)</f>
        <v/>
      </c>
      <c r="AP8" s="1"/>
      <c r="AQ8" s="1">
        <v>2</v>
      </c>
      <c r="AR8" s="1" t="s">
        <v>415</v>
      </c>
    </row>
    <row r="9" spans="2:44" ht="15" customHeight="1" x14ac:dyDescent="0.2">
      <c r="B9" s="39" t="s">
        <v>173</v>
      </c>
      <c r="C9" s="41">
        <v>0</v>
      </c>
      <c r="D9" s="41">
        <v>0</v>
      </c>
      <c r="E9" s="40" t="str">
        <f t="shared" si="9"/>
        <v/>
      </c>
      <c r="F9" s="5">
        <v>1</v>
      </c>
      <c r="H9" s="1">
        <v>1</v>
      </c>
      <c r="J9" s="1">
        <f t="shared" si="0"/>
        <v>0</v>
      </c>
      <c r="K9" s="1">
        <f t="shared" si="1"/>
        <v>0</v>
      </c>
      <c r="L9" s="1">
        <f t="shared" si="2"/>
        <v>0</v>
      </c>
      <c r="M9" s="1">
        <f t="shared" si="3"/>
        <v>0</v>
      </c>
      <c r="N9" s="1">
        <f t="shared" si="4"/>
        <v>0</v>
      </c>
      <c r="O9" s="1">
        <f t="shared" si="5"/>
        <v>0</v>
      </c>
      <c r="P9" s="1"/>
      <c r="Q9" s="1"/>
      <c r="R9" s="1">
        <f t="shared" si="7"/>
        <v>0</v>
      </c>
      <c r="X9" s="1"/>
      <c r="Y9" s="1"/>
      <c r="Z9" s="1" t="e">
        <f t="shared" si="8"/>
        <v>#DIV/0!</v>
      </c>
      <c r="AB9" s="1" t="s">
        <v>58</v>
      </c>
      <c r="AC9" s="1">
        <f>ASIN(SQRT(X24))</f>
        <v>0</v>
      </c>
      <c r="AD9" s="1"/>
      <c r="AE9" s="1" t="s">
        <v>106</v>
      </c>
      <c r="AF9" s="1" t="e">
        <f>-3.14677066431973+(-0.224952697289238*AC35)+(0.343990633341144*AC28)+(0.795185661029741*AC30)+(0.638765551272788*AC25)+(1.43629446381192*AC44)</f>
        <v>#VALUE!</v>
      </c>
      <c r="AG9" s="1"/>
      <c r="AH9" s="1" t="s">
        <v>225</v>
      </c>
      <c r="AI9" s="1" t="str">
        <f>IF(OR(AR17="Ja",X22=0),"",1-NORMSDIST(AF32))</f>
        <v/>
      </c>
      <c r="AK9" t="s">
        <v>168</v>
      </c>
      <c r="AL9" s="1" t="str">
        <f>IF(X22&gt;0,AVERAGE(AI22:AI25),AL12)</f>
        <v/>
      </c>
      <c r="AM9" s="1"/>
      <c r="AN9" s="1" t="s">
        <v>233</v>
      </c>
      <c r="AO9" s="1" t="str">
        <f>IF(AND(X22=0,AC24&gt;800),"",AO7)</f>
        <v/>
      </c>
      <c r="AP9" s="1"/>
      <c r="AQ9" s="1">
        <v>3</v>
      </c>
      <c r="AR9" s="1" t="s">
        <v>416</v>
      </c>
    </row>
    <row r="10" spans="2:44" ht="15" customHeight="1" x14ac:dyDescent="0.2">
      <c r="B10" s="39" t="s">
        <v>9</v>
      </c>
      <c r="C10" s="41">
        <v>0</v>
      </c>
      <c r="D10" s="41">
        <v>0</v>
      </c>
      <c r="E10" s="40" t="str">
        <f t="shared" si="9"/>
        <v/>
      </c>
      <c r="F10" s="5"/>
      <c r="H10" s="1">
        <v>1</v>
      </c>
      <c r="J10" s="1">
        <f t="shared" si="0"/>
        <v>0</v>
      </c>
      <c r="K10" s="1">
        <f t="shared" si="1"/>
        <v>0</v>
      </c>
      <c r="L10" s="1">
        <f t="shared" si="2"/>
        <v>0</v>
      </c>
      <c r="M10" s="1">
        <f t="shared" si="3"/>
        <v>0</v>
      </c>
      <c r="N10" s="1">
        <f t="shared" si="4"/>
        <v>0</v>
      </c>
      <c r="O10" s="1">
        <f t="shared" si="5"/>
        <v>0</v>
      </c>
      <c r="P10" s="1"/>
      <c r="Q10" s="1"/>
      <c r="R10" s="1">
        <f t="shared" si="7"/>
        <v>0</v>
      </c>
      <c r="U10" t="s">
        <v>219</v>
      </c>
      <c r="X10" s="1">
        <f>SUM(J7:J59)</f>
        <v>0</v>
      </c>
      <c r="Y10" s="1"/>
      <c r="Z10" s="1" t="e">
        <f t="shared" si="8"/>
        <v>#DIV/0!</v>
      </c>
      <c r="AB10" s="1" t="s">
        <v>59</v>
      </c>
      <c r="AC10" s="1">
        <f>ASIN(SQRT(X26))</f>
        <v>0</v>
      </c>
      <c r="AD10" s="1"/>
      <c r="AE10" s="1" t="s">
        <v>107</v>
      </c>
      <c r="AF10" s="1" t="e">
        <f>AC6-AF9</f>
        <v>#VALUE!</v>
      </c>
      <c r="AG10" s="1"/>
      <c r="AH10" s="1" t="s">
        <v>226</v>
      </c>
      <c r="AI10" s="1" t="str">
        <f>IF(OR(AR17="Ja",X22=0),"",NORMSDIST(AF35))</f>
        <v/>
      </c>
      <c r="AK10" t="s">
        <v>229</v>
      </c>
      <c r="AL10" s="1" t="str">
        <f>IF(AR17="Ja","",IF(X22&gt;0,AVERAGE(AI26:AI29),AL12))</f>
        <v/>
      </c>
      <c r="AM10" s="1"/>
      <c r="AN10" s="1" t="s">
        <v>234</v>
      </c>
      <c r="AO10" s="1" t="str">
        <f>IF(AND(X22&gt;0,AC24&gt;800),AO6,AO7)</f>
        <v/>
      </c>
      <c r="AP10" s="1"/>
      <c r="AQ10" s="1">
        <v>4</v>
      </c>
      <c r="AR10" s="1" t="s">
        <v>434</v>
      </c>
    </row>
    <row r="11" spans="2:44" ht="15" customHeight="1" x14ac:dyDescent="0.2">
      <c r="B11" s="39" t="s">
        <v>11</v>
      </c>
      <c r="C11" s="41">
        <v>0</v>
      </c>
      <c r="D11" s="41">
        <v>0</v>
      </c>
      <c r="E11" s="40" t="str">
        <f t="shared" si="9"/>
        <v/>
      </c>
      <c r="F11" s="5">
        <v>1</v>
      </c>
      <c r="H11" s="1">
        <v>1</v>
      </c>
      <c r="I11" s="1">
        <v>1</v>
      </c>
      <c r="J11" s="1">
        <f t="shared" si="0"/>
        <v>0</v>
      </c>
      <c r="K11" s="1">
        <f t="shared" si="1"/>
        <v>0</v>
      </c>
      <c r="L11" s="1">
        <f t="shared" si="2"/>
        <v>0</v>
      </c>
      <c r="M11" s="1">
        <f t="shared" si="3"/>
        <v>0</v>
      </c>
      <c r="N11" s="1">
        <f t="shared" si="4"/>
        <v>0</v>
      </c>
      <c r="O11" s="1">
        <f t="shared" si="5"/>
        <v>0</v>
      </c>
      <c r="P11" s="1">
        <f t="shared" ref="P11:P27" si="10">IF(R11&gt;0,1,0)</f>
        <v>0</v>
      </c>
      <c r="Q11" s="1">
        <f>IF(D11&gt;0,1,0)</f>
        <v>0</v>
      </c>
      <c r="R11" s="1">
        <f t="shared" si="7"/>
        <v>0</v>
      </c>
      <c r="X11" s="1"/>
      <c r="Y11" s="1"/>
      <c r="Z11" s="1" t="e">
        <f t="shared" si="8"/>
        <v>#DIV/0!</v>
      </c>
      <c r="AB11" s="1" t="s">
        <v>60</v>
      </c>
      <c r="AC11" s="1" t="str">
        <f>IF(X34="","",ASIN(SQRT(X34)))</f>
        <v/>
      </c>
      <c r="AD11" s="1"/>
      <c r="AE11" s="1" t="s">
        <v>108</v>
      </c>
      <c r="AF11" s="1" t="e">
        <f>AF10/0.438375590800153</f>
        <v>#VALUE!</v>
      </c>
      <c r="AG11" s="1"/>
      <c r="AH11" s="1" t="s">
        <v>227</v>
      </c>
      <c r="AI11" s="1" t="str">
        <f>IF(AR17="Ja","",IF(AF38="","",NORMSDIST(AF38)))</f>
        <v/>
      </c>
      <c r="AK11" t="s">
        <v>169</v>
      </c>
      <c r="AL11" s="1" t="str">
        <f>IF(X22&gt;0,AVERAGE(AI30:AI32),AL12)</f>
        <v/>
      </c>
      <c r="AM11" s="1"/>
      <c r="AN11" s="1" t="s">
        <v>235</v>
      </c>
      <c r="AO11" s="1" t="str">
        <f>IF(AND(X22=0,AC24&lt;800),5,AO7)</f>
        <v/>
      </c>
      <c r="AP11" s="1"/>
      <c r="AQ11" s="1">
        <v>5</v>
      </c>
      <c r="AR11" s="1" t="s">
        <v>417</v>
      </c>
    </row>
    <row r="12" spans="2:44" ht="15" customHeight="1" x14ac:dyDescent="0.2">
      <c r="B12" s="39" t="s">
        <v>174</v>
      </c>
      <c r="C12" s="41">
        <v>0</v>
      </c>
      <c r="D12" s="41">
        <v>0</v>
      </c>
      <c r="E12" s="40" t="str">
        <f t="shared" si="9"/>
        <v/>
      </c>
      <c r="F12" s="5"/>
      <c r="G12" s="1">
        <v>1</v>
      </c>
      <c r="J12" s="1">
        <f t="shared" si="0"/>
        <v>0</v>
      </c>
      <c r="K12" s="1">
        <f t="shared" si="1"/>
        <v>0</v>
      </c>
      <c r="L12" s="1">
        <f t="shared" si="2"/>
        <v>0</v>
      </c>
      <c r="M12" s="1">
        <f t="shared" si="3"/>
        <v>0</v>
      </c>
      <c r="N12" s="1">
        <f t="shared" si="4"/>
        <v>0</v>
      </c>
      <c r="O12" s="1">
        <f t="shared" si="5"/>
        <v>0</v>
      </c>
      <c r="P12" s="1"/>
      <c r="Q12" s="1"/>
      <c r="R12" s="1">
        <f t="shared" si="7"/>
        <v>0</v>
      </c>
      <c r="U12" t="s">
        <v>220</v>
      </c>
      <c r="X12" s="1">
        <f>SUM(K7:K59)</f>
        <v>0</v>
      </c>
      <c r="Y12" s="1"/>
      <c r="Z12" s="1" t="e">
        <f t="shared" si="8"/>
        <v>#DIV/0!</v>
      </c>
      <c r="AB12" s="1" t="s">
        <v>61</v>
      </c>
      <c r="AC12" s="1" t="e">
        <f>ASIN(SQRT(X32))</f>
        <v>#DIV/0!</v>
      </c>
      <c r="AD12" s="1"/>
      <c r="AE12" s="1" t="s">
        <v>109</v>
      </c>
      <c r="AF12" s="1" t="e">
        <f>2.02198650086536+(-0.341081739117522*AC35)+(1.21509353235713*AC30)+(-0.973454269847993*AC39)+(-1.77491015228841*AC16)</f>
        <v>#VALUE!</v>
      </c>
      <c r="AG12" s="1"/>
      <c r="AH12" s="1" t="s">
        <v>145</v>
      </c>
      <c r="AI12" s="1" t="e">
        <f>NORMSDIST(AF45)</f>
        <v>#VALUE!</v>
      </c>
      <c r="AK12" t="s">
        <v>230</v>
      </c>
      <c r="AL12" s="1" t="str">
        <f>IF(AC13="","",IF(AC16="","",IF(AC19="","",IF(AC23="","",IF(AC25="","",IF(AC28="","",IF(AC33="","",IF(AC35="","",IF(AC37="","",IF(AND(X22=0,AC24&lt;800),0,AL6))))))))))</f>
        <v/>
      </c>
      <c r="AM12" s="1"/>
      <c r="AN12" s="1"/>
      <c r="AO12" s="1"/>
      <c r="AP12" s="1"/>
      <c r="AQ12" s="1">
        <v>6</v>
      </c>
      <c r="AR12" s="1" t="s">
        <v>418</v>
      </c>
    </row>
    <row r="13" spans="2:44" ht="15" customHeight="1" x14ac:dyDescent="0.2">
      <c r="B13" s="39" t="s">
        <v>25</v>
      </c>
      <c r="C13" s="41">
        <v>0</v>
      </c>
      <c r="D13" s="41">
        <v>0</v>
      </c>
      <c r="E13" s="40" t="str">
        <f t="shared" si="9"/>
        <v/>
      </c>
      <c r="F13" s="5"/>
      <c r="H13" s="1">
        <v>1</v>
      </c>
      <c r="J13" s="1">
        <f t="shared" si="0"/>
        <v>0</v>
      </c>
      <c r="K13" s="1">
        <f t="shared" si="1"/>
        <v>0</v>
      </c>
      <c r="L13" s="1">
        <f t="shared" si="2"/>
        <v>0</v>
      </c>
      <c r="M13" s="1">
        <f t="shared" si="3"/>
        <v>0</v>
      </c>
      <c r="N13" s="1">
        <f t="shared" si="4"/>
        <v>0</v>
      </c>
      <c r="O13" s="1">
        <f t="shared" si="5"/>
        <v>0</v>
      </c>
      <c r="P13" s="1"/>
      <c r="Q13" s="1"/>
      <c r="R13" s="1">
        <f t="shared" si="7"/>
        <v>0</v>
      </c>
      <c r="X13" s="1"/>
      <c r="Y13" s="1"/>
      <c r="Z13" s="1" t="e">
        <f t="shared" si="8"/>
        <v>#DIV/0!</v>
      </c>
      <c r="AB13" s="1" t="s">
        <v>7</v>
      </c>
      <c r="AC13" s="1" t="str">
        <f>IF(X6="Insjö",2,IF(X6="Hav",3,IF(X6="Ström",1,"")))</f>
        <v/>
      </c>
      <c r="AD13" s="1"/>
      <c r="AE13" s="1" t="s">
        <v>110</v>
      </c>
      <c r="AF13" s="1" t="e">
        <f>AC6-AF12</f>
        <v>#VALUE!</v>
      </c>
      <c r="AG13" s="1"/>
      <c r="AH13" s="1" t="s">
        <v>146</v>
      </c>
      <c r="AI13" s="1" t="e">
        <f>NORMSDIST(AF46)</f>
        <v>#VALUE!</v>
      </c>
      <c r="AL13" s="1"/>
      <c r="AM13" s="1"/>
      <c r="AN13" s="1"/>
      <c r="AO13" s="1"/>
      <c r="AP13" s="1"/>
      <c r="AQ13" s="1">
        <v>7</v>
      </c>
      <c r="AR13" s="1" t="s">
        <v>441</v>
      </c>
    </row>
    <row r="14" spans="2:44" ht="15" customHeight="1" x14ac:dyDescent="0.2">
      <c r="B14" s="39" t="s">
        <v>175</v>
      </c>
      <c r="C14" s="41">
        <v>0</v>
      </c>
      <c r="D14" s="41">
        <v>0</v>
      </c>
      <c r="E14" s="40" t="str">
        <f t="shared" si="9"/>
        <v/>
      </c>
      <c r="F14" s="5"/>
      <c r="G14" s="1">
        <v>1</v>
      </c>
      <c r="J14" s="1">
        <f t="shared" si="0"/>
        <v>0</v>
      </c>
      <c r="K14" s="1">
        <f t="shared" si="1"/>
        <v>0</v>
      </c>
      <c r="L14" s="1">
        <f t="shared" si="2"/>
        <v>0</v>
      </c>
      <c r="M14" s="1">
        <f t="shared" si="3"/>
        <v>0</v>
      </c>
      <c r="N14" s="1">
        <f t="shared" si="4"/>
        <v>0</v>
      </c>
      <c r="O14" s="1">
        <f t="shared" si="5"/>
        <v>0</v>
      </c>
      <c r="P14" s="1"/>
      <c r="Q14" s="1"/>
      <c r="R14" s="1">
        <f t="shared" si="7"/>
        <v>0</v>
      </c>
      <c r="U14" t="s">
        <v>350</v>
      </c>
      <c r="X14" s="1">
        <f>SUM(L7:L59)</f>
        <v>0</v>
      </c>
      <c r="Y14" s="1"/>
      <c r="Z14" s="1" t="e">
        <f t="shared" si="8"/>
        <v>#DIV/0!</v>
      </c>
      <c r="AB14" s="1" t="s">
        <v>48</v>
      </c>
      <c r="AC14" s="1" t="str">
        <f>IF(Metadata!C19="","",Metadata!C19)</f>
        <v/>
      </c>
      <c r="AD14" s="1"/>
      <c r="AE14" s="1" t="s">
        <v>111</v>
      </c>
      <c r="AF14" s="1" t="e">
        <f>AF13/0.443543165275139</f>
        <v>#VALUE!</v>
      </c>
      <c r="AG14" s="1"/>
      <c r="AH14" s="1" t="s">
        <v>147</v>
      </c>
      <c r="AI14" s="1" t="e">
        <f>NORMSDIST(AF35)</f>
        <v>#VALUE!</v>
      </c>
      <c r="AL14" s="1"/>
      <c r="AM14" s="1"/>
      <c r="AN14" s="1"/>
      <c r="AO14" s="1"/>
      <c r="AP14" s="1"/>
      <c r="AQ14" s="1"/>
      <c r="AR14" s="1"/>
    </row>
    <row r="15" spans="2:44" ht="15" customHeight="1" x14ac:dyDescent="0.25">
      <c r="B15" s="39" t="s">
        <v>176</v>
      </c>
      <c r="C15" s="41">
        <v>0</v>
      </c>
      <c r="D15" s="41">
        <v>0</v>
      </c>
      <c r="E15" s="40" t="str">
        <f t="shared" si="9"/>
        <v/>
      </c>
      <c r="F15" s="5">
        <v>1</v>
      </c>
      <c r="H15" s="1">
        <v>1</v>
      </c>
      <c r="J15" s="1">
        <f t="shared" si="0"/>
        <v>0</v>
      </c>
      <c r="K15" s="1">
        <f t="shared" si="1"/>
        <v>0</v>
      </c>
      <c r="L15" s="1">
        <f t="shared" si="2"/>
        <v>0</v>
      </c>
      <c r="M15" s="1">
        <f t="shared" si="3"/>
        <v>0</v>
      </c>
      <c r="N15" s="1">
        <f t="shared" si="4"/>
        <v>0</v>
      </c>
      <c r="O15" s="1">
        <f t="shared" si="5"/>
        <v>0</v>
      </c>
      <c r="P15" s="1"/>
      <c r="Q15" s="1"/>
      <c r="R15" s="1">
        <f t="shared" si="7"/>
        <v>0</v>
      </c>
      <c r="X15" s="1"/>
      <c r="Y15" s="1"/>
      <c r="Z15" s="1" t="e">
        <f t="shared" si="8"/>
        <v>#DIV/0!</v>
      </c>
      <c r="AB15" s="1" t="s">
        <v>47</v>
      </c>
      <c r="AC15" s="1" t="str">
        <f>IF(AC14="&lt;10 (1)",1,IF(AC14="&lt;100 (2)",2,IF(AC14="&lt;1000 (3)",3,IF(AC14="&lt;10000 (4)",4,IF(AC14="&gt;10000 (5)",5,IF(AC14="","",IF(AC14=-9,"","")))))))</f>
        <v/>
      </c>
      <c r="AD15" s="1"/>
      <c r="AE15" s="1" t="s">
        <v>112</v>
      </c>
      <c r="AF15" s="1" t="e">
        <f>2.39560878593873+(2.96764417196779*AC43)+(-1.82167860380229*AC30)+(-3.13890005209816*AC16)+(0.521626311829737*AC35)+(-0.25805302883851*AC28)</f>
        <v>#VALUE!</v>
      </c>
      <c r="AG15" s="1"/>
      <c r="AH15" s="1" t="s">
        <v>148</v>
      </c>
      <c r="AI15" s="1" t="str">
        <f>IF(AF38="","",NORMSDIST(AF38))</f>
        <v/>
      </c>
      <c r="AK15" s="3" t="s">
        <v>208</v>
      </c>
      <c r="AL15" s="1"/>
      <c r="AM15" s="1"/>
      <c r="AN15" s="2" t="s">
        <v>252</v>
      </c>
      <c r="AP15" s="1"/>
      <c r="AQ15" s="2" t="s">
        <v>95</v>
      </c>
      <c r="AR15" s="1" t="str">
        <f>IF(AND(X22=0,Metadata!C18&gt;=800),AR6,IF(AND(X22=0,AC24&lt;800,AC15&lt;=1,X38="Nej"),AR9,IF(AND(X22=0,AC24&lt;800,AC15&lt;=1,X38="Ja"),AR12,IF(AND(X22=0,AC24&lt;800,AC15&gt;1,X38="Ja"),AR11,IF(X22=0,AR8,IF(AR17="Ja",AR10,IF(AND(X22&gt;0,AC24&gt;=800),AR7,IF(OR(X36&lt;7,X36&gt;10),AR13,""))))))))</f>
        <v>Dålig status pga att fisk saknas.</v>
      </c>
    </row>
    <row r="16" spans="2:44" ht="15" customHeight="1" x14ac:dyDescent="0.2">
      <c r="B16" s="39" t="s">
        <v>177</v>
      </c>
      <c r="C16" s="41">
        <v>0</v>
      </c>
      <c r="D16" s="41">
        <v>0</v>
      </c>
      <c r="E16" s="40" t="str">
        <f t="shared" si="9"/>
        <v/>
      </c>
      <c r="F16" s="5"/>
      <c r="G16" s="1">
        <v>1</v>
      </c>
      <c r="J16" s="1">
        <f t="shared" si="0"/>
        <v>0</v>
      </c>
      <c r="K16" s="1">
        <f t="shared" si="1"/>
        <v>0</v>
      </c>
      <c r="L16" s="1">
        <f t="shared" si="2"/>
        <v>0</v>
      </c>
      <c r="M16" s="1">
        <f t="shared" si="3"/>
        <v>0</v>
      </c>
      <c r="N16" s="1">
        <f t="shared" si="4"/>
        <v>0</v>
      </c>
      <c r="O16" s="1">
        <f t="shared" si="5"/>
        <v>0</v>
      </c>
      <c r="P16" s="1"/>
      <c r="Q16" s="1"/>
      <c r="R16" s="1">
        <f t="shared" si="7"/>
        <v>0</v>
      </c>
      <c r="U16" t="s">
        <v>221</v>
      </c>
      <c r="X16" s="1">
        <f>SUM(M7:M59)</f>
        <v>0</v>
      </c>
      <c r="Y16" s="1"/>
      <c r="Z16" s="1" t="e">
        <f t="shared" si="8"/>
        <v>#DIV/0!</v>
      </c>
      <c r="AB16" s="1" t="s">
        <v>62</v>
      </c>
      <c r="AC16" s="1" t="e">
        <f>IF(AC15&gt;0,LOG10(AC15+1),"")</f>
        <v>#VALUE!</v>
      </c>
      <c r="AD16" s="1"/>
      <c r="AE16" s="1" t="s">
        <v>113</v>
      </c>
      <c r="AF16" s="1" t="e">
        <f>AC6-AF15</f>
        <v>#VALUE!</v>
      </c>
      <c r="AG16" s="1"/>
      <c r="AH16" s="1" t="s">
        <v>149</v>
      </c>
      <c r="AI16" s="10" t="e">
        <f>NORMSDIST(AF45)</f>
        <v>#VALUE!</v>
      </c>
      <c r="AK16" t="s">
        <v>209</v>
      </c>
      <c r="AL16" s="10" t="e">
        <f>POWER(10,AF6)-1</f>
        <v>#VALUE!</v>
      </c>
      <c r="AM16" s="13"/>
      <c r="AN16" s="1" t="str">
        <f>IF(AND(X22=0,AC24&lt;800,AC15&lt;=1,X38="Nej"),"Dålig",IF(AND(X22=0,AC24&lt;800,AC15&lt;=1,X38="Ja"),"Dålig",IF(AND(X22=0,AC24&lt;800,AC15&gt;1,X38="Ja"),"Dålig",IF(AND(X22=0,AC24&gt;=800),"Ej klassad",IF(X22=0,"Dålig",IF(AR17="Ja","Ej klassad",IFERROR(IF(AO7=1,"Hög",IF(AO7=2,"God",IF(AO7=3,"Måttlig",IF(AO7=4,"Otillfredsställande",IF(AO7=5,"Dålig","Ej klassad"))))),"Ej klassad")))))))</f>
        <v>Ej klassad</v>
      </c>
      <c r="AO16" s="1"/>
      <c r="AP16" s="1"/>
      <c r="AQ16" s="1"/>
      <c r="AR16" s="1"/>
    </row>
    <row r="17" spans="2:44" ht="15" customHeight="1" x14ac:dyDescent="0.25">
      <c r="B17" s="39" t="s">
        <v>178</v>
      </c>
      <c r="C17" s="41">
        <v>0</v>
      </c>
      <c r="D17" s="41">
        <v>0</v>
      </c>
      <c r="E17" s="40" t="str">
        <f t="shared" si="9"/>
        <v/>
      </c>
      <c r="F17" s="5"/>
      <c r="G17" s="1">
        <v>1</v>
      </c>
      <c r="J17" s="1">
        <f t="shared" si="0"/>
        <v>0</v>
      </c>
      <c r="K17" s="1">
        <f t="shared" si="1"/>
        <v>0</v>
      </c>
      <c r="L17" s="1">
        <f t="shared" si="2"/>
        <v>0</v>
      </c>
      <c r="M17" s="1">
        <f t="shared" si="3"/>
        <v>0</v>
      </c>
      <c r="N17" s="1">
        <f t="shared" si="4"/>
        <v>0</v>
      </c>
      <c r="O17" s="1">
        <f t="shared" si="5"/>
        <v>0</v>
      </c>
      <c r="P17" s="1"/>
      <c r="Q17" s="1"/>
      <c r="R17" s="1">
        <f t="shared" si="7"/>
        <v>0</v>
      </c>
      <c r="X17" s="1"/>
      <c r="Y17" s="1"/>
      <c r="Z17" s="1" t="e">
        <f t="shared" si="8"/>
        <v>#DIV/0!</v>
      </c>
      <c r="AB17" s="1" t="s">
        <v>50</v>
      </c>
      <c r="AC17" s="1" t="str">
        <f>IF(Metadata!C20="","",Metadata!C20)</f>
        <v/>
      </c>
      <c r="AD17" s="1"/>
      <c r="AE17" s="1" t="s">
        <v>114</v>
      </c>
      <c r="AF17" s="1" t="e">
        <f>AF16/0.408372984000728</f>
        <v>#VALUE!</v>
      </c>
      <c r="AG17" s="1"/>
      <c r="AH17" s="1" t="s">
        <v>150</v>
      </c>
      <c r="AI17" s="1" t="e">
        <f>1-NORMSDIST(AF44)</f>
        <v>#VALUE!</v>
      </c>
      <c r="AK17" t="s">
        <v>210</v>
      </c>
      <c r="AL17" s="1" t="e">
        <f>POWER(10,AF9)-1</f>
        <v>#VALUE!</v>
      </c>
      <c r="AM17" s="1"/>
      <c r="AN17" s="1"/>
      <c r="AO17" s="1"/>
      <c r="AP17" s="1"/>
      <c r="AQ17" s="2" t="s">
        <v>419</v>
      </c>
      <c r="AR17" s="1" t="str">
        <f>IF(OR(AC13="",AC15="",AC18="",AC22="",AC24="",AC26="",AC31="",AC34="",AC36=""),"Ja","Nej")</f>
        <v>Ja</v>
      </c>
    </row>
    <row r="18" spans="2:44" ht="15" customHeight="1" x14ac:dyDescent="0.2">
      <c r="B18" s="39" t="s">
        <v>179</v>
      </c>
      <c r="C18" s="41">
        <v>0</v>
      </c>
      <c r="D18" s="41">
        <v>0</v>
      </c>
      <c r="E18" s="40" t="str">
        <f t="shared" si="9"/>
        <v/>
      </c>
      <c r="F18" s="5">
        <v>1</v>
      </c>
      <c r="H18" s="1">
        <v>1</v>
      </c>
      <c r="J18" s="1">
        <f t="shared" si="0"/>
        <v>0</v>
      </c>
      <c r="K18" s="1">
        <f t="shared" si="1"/>
        <v>0</v>
      </c>
      <c r="L18" s="1">
        <f t="shared" si="2"/>
        <v>0</v>
      </c>
      <c r="M18" s="1">
        <f t="shared" si="3"/>
        <v>0</v>
      </c>
      <c r="N18" s="1">
        <f t="shared" si="4"/>
        <v>0</v>
      </c>
      <c r="O18" s="1">
        <f t="shared" si="5"/>
        <v>0</v>
      </c>
      <c r="P18" s="1"/>
      <c r="Q18" s="1"/>
      <c r="R18" s="1">
        <f t="shared" si="7"/>
        <v>0</v>
      </c>
      <c r="U18" t="s">
        <v>40</v>
      </c>
      <c r="X18" s="1">
        <f>COUNTIF(J7:J59,"&gt;0")</f>
        <v>0</v>
      </c>
      <c r="Y18" s="1"/>
      <c r="Z18" s="1" t="e">
        <f t="shared" si="8"/>
        <v>#DIV/0!</v>
      </c>
      <c r="AB18" s="1" t="s">
        <v>49</v>
      </c>
      <c r="AC18" s="1" t="str">
        <f>IF(AC17="&lt;01 (1)",1,IF(AC17="&lt;05 (2)",2,IF(AC17="&lt;10 (3)",3,IF(AC17="&gt;10 (4)",4,IF(AC17="","",IF(AC17=-9,"",""))))))</f>
        <v/>
      </c>
      <c r="AD18" s="1"/>
      <c r="AE18" s="1" t="s">
        <v>115</v>
      </c>
      <c r="AF18" s="1" t="e">
        <f>1.48136688396524+(0.608063038235814*AC23)+(-0.283834492743044*AC38)+(-0.297584990807304*AC39)+(-0.363693654960169*AC40)</f>
        <v>#VALUE!</v>
      </c>
      <c r="AG18" s="1"/>
      <c r="AH18" s="1" t="s">
        <v>151</v>
      </c>
      <c r="AI18" s="1" t="e">
        <f>NORMSDIST(AF46)</f>
        <v>#VALUE!</v>
      </c>
      <c r="AK18" t="s">
        <v>211</v>
      </c>
      <c r="AL18" s="1" t="e">
        <f>POWER(10,AF12)-1</f>
        <v>#VALUE!</v>
      </c>
      <c r="AM18" s="1"/>
      <c r="AN18" s="1"/>
      <c r="AO18" s="1"/>
      <c r="AP18" s="1"/>
      <c r="AQ18" s="1"/>
      <c r="AR18" s="1"/>
    </row>
    <row r="19" spans="2:44" ht="15" customHeight="1" x14ac:dyDescent="0.25">
      <c r="B19" s="39" t="s">
        <v>180</v>
      </c>
      <c r="C19" s="41">
        <v>0</v>
      </c>
      <c r="D19" s="41">
        <v>0</v>
      </c>
      <c r="E19" s="40" t="str">
        <f t="shared" si="9"/>
        <v/>
      </c>
      <c r="F19" s="5">
        <v>1</v>
      </c>
      <c r="H19" s="1">
        <v>1</v>
      </c>
      <c r="J19" s="1">
        <f t="shared" si="0"/>
        <v>0</v>
      </c>
      <c r="K19" s="1">
        <f t="shared" si="1"/>
        <v>0</v>
      </c>
      <c r="L19" s="1">
        <f t="shared" si="2"/>
        <v>0</v>
      </c>
      <c r="M19" s="1">
        <f t="shared" si="3"/>
        <v>0</v>
      </c>
      <c r="N19" s="1">
        <f t="shared" si="4"/>
        <v>0</v>
      </c>
      <c r="O19" s="1">
        <f t="shared" si="5"/>
        <v>0</v>
      </c>
      <c r="P19" s="1"/>
      <c r="Q19" s="1"/>
      <c r="R19" s="1">
        <f t="shared" si="7"/>
        <v>0</v>
      </c>
      <c r="X19" s="1"/>
      <c r="Y19" s="1"/>
      <c r="Z19" s="1" t="e">
        <f t="shared" si="8"/>
        <v>#DIV/0!</v>
      </c>
      <c r="AB19" s="1" t="s">
        <v>63</v>
      </c>
      <c r="AC19" s="1" t="e">
        <f>IF(AC18&gt;0,LOG10(AC18+1),"")</f>
        <v>#VALUE!</v>
      </c>
      <c r="AD19" s="1"/>
      <c r="AE19" s="1" t="s">
        <v>116</v>
      </c>
      <c r="AF19" s="1" t="e">
        <f>AC8-AF18</f>
        <v>#VALUE!</v>
      </c>
      <c r="AG19" s="1"/>
      <c r="AH19" s="1" t="s">
        <v>152</v>
      </c>
      <c r="AI19" s="1" t="e">
        <f>1-NORMSDIST(AF32)</f>
        <v>#VALUE!</v>
      </c>
      <c r="AK19" t="s">
        <v>212</v>
      </c>
      <c r="AL19" s="1" t="e">
        <f>POWER(10,AF15)-1</f>
        <v>#VALUE!</v>
      </c>
      <c r="AM19" s="1"/>
      <c r="AN19" s="1"/>
      <c r="AO19" s="1"/>
      <c r="AP19" s="1"/>
      <c r="AQ19" s="2" t="s">
        <v>245</v>
      </c>
      <c r="AR19" s="1" t="str">
        <f>IF(OR(AO7=2,AO7=3)*AND(AI46&lt;0.1),"Gränsfall mellan god och måttlig status","")</f>
        <v/>
      </c>
    </row>
    <row r="20" spans="2:44" ht="15" customHeight="1" x14ac:dyDescent="0.2">
      <c r="B20" s="39" t="s">
        <v>181</v>
      </c>
      <c r="C20" s="41">
        <v>0</v>
      </c>
      <c r="D20" s="41">
        <v>0</v>
      </c>
      <c r="E20" s="40" t="str">
        <f t="shared" si="9"/>
        <v/>
      </c>
      <c r="F20" s="5">
        <v>1</v>
      </c>
      <c r="H20" s="1">
        <v>1</v>
      </c>
      <c r="J20" s="1">
        <f t="shared" si="0"/>
        <v>0</v>
      </c>
      <c r="K20" s="1">
        <f t="shared" si="1"/>
        <v>0</v>
      </c>
      <c r="L20" s="1">
        <f t="shared" si="2"/>
        <v>0</v>
      </c>
      <c r="M20" s="1">
        <f t="shared" si="3"/>
        <v>0</v>
      </c>
      <c r="N20" s="1">
        <f t="shared" si="4"/>
        <v>0</v>
      </c>
      <c r="O20" s="1">
        <f t="shared" si="5"/>
        <v>0</v>
      </c>
      <c r="P20" s="1"/>
      <c r="Q20" s="1"/>
      <c r="R20" s="1">
        <f t="shared" si="7"/>
        <v>0</v>
      </c>
      <c r="U20" t="s">
        <v>39</v>
      </c>
      <c r="X20" s="1">
        <f>COUNTIF(K7:K59,"&gt;0")</f>
        <v>0</v>
      </c>
      <c r="Y20" s="1"/>
      <c r="Z20" s="1" t="e">
        <f t="shared" si="8"/>
        <v>#DIV/0!</v>
      </c>
      <c r="AB20" s="1" t="s">
        <v>51</v>
      </c>
      <c r="AC20" s="11" t="str">
        <f>IF(Metadata!C21&gt;0,Metadata!C21,"")</f>
        <v/>
      </c>
      <c r="AD20" s="1"/>
      <c r="AE20" s="1" t="s">
        <v>117</v>
      </c>
      <c r="AF20" s="1" t="e">
        <f>AF19/0.275562119479399</f>
        <v>#VALUE!</v>
      </c>
      <c r="AG20" s="1"/>
      <c r="AH20" s="1" t="s">
        <v>153</v>
      </c>
      <c r="AI20" s="1" t="e">
        <f>NORMSDIST(AF35)</f>
        <v>#VALUE!</v>
      </c>
      <c r="AK20" t="s">
        <v>85</v>
      </c>
      <c r="AL20" s="1" t="e">
        <f>IF(AC13=1,AL17,IF(AC13=2,AL18,IF(AC13=3,AL19,AL16)))</f>
        <v>#VALUE!</v>
      </c>
      <c r="AM20" s="1"/>
      <c r="AN20" s="1"/>
      <c r="AO20" s="1"/>
      <c r="AP20" s="1"/>
      <c r="AQ20" s="1"/>
      <c r="AR20" s="1"/>
    </row>
    <row r="21" spans="2:44" ht="15" customHeight="1" x14ac:dyDescent="0.2">
      <c r="B21" s="39" t="s">
        <v>15</v>
      </c>
      <c r="C21" s="41">
        <v>0</v>
      </c>
      <c r="D21" s="41">
        <v>0</v>
      </c>
      <c r="E21" s="40" t="str">
        <f t="shared" si="9"/>
        <v/>
      </c>
      <c r="F21" s="5"/>
      <c r="H21" s="1">
        <v>1</v>
      </c>
      <c r="J21" s="1">
        <f t="shared" si="0"/>
        <v>0</v>
      </c>
      <c r="K21" s="1">
        <f t="shared" si="1"/>
        <v>0</v>
      </c>
      <c r="L21" s="1">
        <f t="shared" si="2"/>
        <v>0</v>
      </c>
      <c r="M21" s="1">
        <f t="shared" si="3"/>
        <v>0</v>
      </c>
      <c r="N21" s="1">
        <f t="shared" si="4"/>
        <v>0</v>
      </c>
      <c r="O21" s="1">
        <f t="shared" si="5"/>
        <v>0</v>
      </c>
      <c r="P21" s="1"/>
      <c r="Q21" s="1"/>
      <c r="R21" s="1">
        <f t="shared" si="7"/>
        <v>0</v>
      </c>
      <c r="X21" s="1"/>
      <c r="Y21" s="1"/>
      <c r="Z21" s="1" t="e">
        <f t="shared" si="8"/>
        <v>#DIV/0!</v>
      </c>
      <c r="AB21" s="1" t="s">
        <v>52</v>
      </c>
      <c r="AC21" s="11" t="str">
        <f>IF(Metadata!C22&gt;0,Metadata!C22,"")</f>
        <v/>
      </c>
      <c r="AD21" s="1"/>
      <c r="AE21" s="1" t="s">
        <v>118</v>
      </c>
      <c r="AF21" s="1" t="e">
        <f>-2.25746644635226+(0.316070503148381*AC23)+(0.162264692931762*AC28)+(3.23905395336358*AC25)+(-0.717515111634254*AC41)+(-0.439563619560175*AC39)+(-0.14978411744718*AC35)</f>
        <v>#VALUE!</v>
      </c>
      <c r="AG21" s="1"/>
      <c r="AH21" s="1" t="s">
        <v>154</v>
      </c>
      <c r="AI21" s="1" t="str">
        <f>IF(AF38="","",NORMSDIST(AF38))</f>
        <v/>
      </c>
      <c r="AK21" t="s">
        <v>86</v>
      </c>
      <c r="AL21" s="1" t="e">
        <f>POWER(SIN(AF42),2)</f>
        <v>#VALUE!</v>
      </c>
      <c r="AM21" s="1"/>
      <c r="AN21" s="1"/>
      <c r="AO21" s="1"/>
      <c r="AP21" s="1"/>
      <c r="AQ21" s="1"/>
      <c r="AR21" s="1"/>
    </row>
    <row r="22" spans="2:44" ht="15" customHeight="1" x14ac:dyDescent="0.2">
      <c r="B22" s="39" t="s">
        <v>16</v>
      </c>
      <c r="C22" s="41">
        <v>0</v>
      </c>
      <c r="D22" s="41">
        <v>0</v>
      </c>
      <c r="E22" s="40" t="str">
        <f t="shared" si="9"/>
        <v/>
      </c>
      <c r="F22" s="5"/>
      <c r="J22" s="1">
        <f t="shared" si="0"/>
        <v>0</v>
      </c>
      <c r="K22" s="1">
        <f t="shared" si="1"/>
        <v>0</v>
      </c>
      <c r="L22" s="1">
        <f t="shared" si="2"/>
        <v>0</v>
      </c>
      <c r="M22" s="1">
        <f t="shared" si="3"/>
        <v>0</v>
      </c>
      <c r="N22" s="1">
        <f t="shared" si="4"/>
        <v>0</v>
      </c>
      <c r="O22" s="1">
        <f t="shared" si="5"/>
        <v>0</v>
      </c>
      <c r="P22" s="1"/>
      <c r="Q22" s="1"/>
      <c r="R22" s="1">
        <f t="shared" si="7"/>
        <v>0</v>
      </c>
      <c r="U22" t="s">
        <v>202</v>
      </c>
      <c r="X22" s="1">
        <f>COUNTIF(R7:R59,"&gt;0")</f>
        <v>0</v>
      </c>
      <c r="Y22" s="1"/>
      <c r="Z22" s="1" t="e">
        <f t="shared" si="8"/>
        <v>#DIV/0!</v>
      </c>
      <c r="AB22" s="1" t="s">
        <v>53</v>
      </c>
      <c r="AC22" s="1" t="str">
        <f>IF(OR(AC20="",AC21=""),"",MIN(AC20,AC21))</f>
        <v/>
      </c>
      <c r="AD22" s="1"/>
      <c r="AE22" s="1" t="s">
        <v>119</v>
      </c>
      <c r="AF22" s="1" t="e">
        <f>AC8-AF21</f>
        <v>#VALUE!</v>
      </c>
      <c r="AG22" s="1"/>
      <c r="AH22" s="1" t="s">
        <v>155</v>
      </c>
      <c r="AI22" s="1" t="e">
        <f>NORMSDIST(AF45)</f>
        <v>#VALUE!</v>
      </c>
      <c r="AK22" t="s">
        <v>213</v>
      </c>
      <c r="AL22" s="1" t="e">
        <f>POWER(SIN(AF18),2)</f>
        <v>#VALUE!</v>
      </c>
      <c r="AM22" s="1"/>
      <c r="AN22" s="1"/>
      <c r="AO22" s="1"/>
      <c r="AP22" s="1"/>
      <c r="AQ22" s="1"/>
      <c r="AR22" s="1"/>
    </row>
    <row r="23" spans="2:44" ht="15" customHeight="1" x14ac:dyDescent="0.2">
      <c r="B23" s="39" t="s">
        <v>182</v>
      </c>
      <c r="C23" s="41">
        <v>0</v>
      </c>
      <c r="D23" s="41">
        <v>0</v>
      </c>
      <c r="E23" s="40" t="str">
        <f t="shared" si="9"/>
        <v/>
      </c>
      <c r="F23" s="5"/>
      <c r="J23" s="1">
        <f t="shared" si="0"/>
        <v>0</v>
      </c>
      <c r="K23" s="1">
        <f t="shared" si="1"/>
        <v>0</v>
      </c>
      <c r="L23" s="1">
        <f t="shared" si="2"/>
        <v>0</v>
      </c>
      <c r="M23" s="1">
        <f t="shared" si="3"/>
        <v>0</v>
      </c>
      <c r="N23" s="1">
        <f t="shared" si="4"/>
        <v>0</v>
      </c>
      <c r="O23" s="1">
        <f t="shared" si="5"/>
        <v>0</v>
      </c>
      <c r="P23" s="1"/>
      <c r="Q23" s="1"/>
      <c r="R23" s="1">
        <f t="shared" si="7"/>
        <v>0</v>
      </c>
      <c r="X23" s="1"/>
      <c r="Y23" s="1"/>
      <c r="Z23" s="1" t="e">
        <f t="shared" si="8"/>
        <v>#DIV/0!</v>
      </c>
      <c r="AB23" s="1" t="s">
        <v>64</v>
      </c>
      <c r="AC23" s="1" t="e">
        <f>IF(AC22&gt;0,LOG10(AC22+1),"")</f>
        <v>#VALUE!</v>
      </c>
      <c r="AD23" s="1"/>
      <c r="AE23" s="1" t="s">
        <v>120</v>
      </c>
      <c r="AF23" s="1" t="e">
        <f>AF22/0.25674764263209</f>
        <v>#VALUE!</v>
      </c>
      <c r="AG23" s="1"/>
      <c r="AH23" s="1" t="s">
        <v>156</v>
      </c>
      <c r="AI23" s="1" t="e">
        <f>NORMSDIST(AF46)</f>
        <v>#VALUE!</v>
      </c>
      <c r="AK23" t="s">
        <v>214</v>
      </c>
      <c r="AL23" s="1" t="e">
        <f>POWER(SIN(AF21),2)</f>
        <v>#VALUE!</v>
      </c>
      <c r="AM23" s="1"/>
      <c r="AN23" s="1"/>
      <c r="AO23" s="11"/>
      <c r="AP23" s="1"/>
      <c r="AQ23" s="1"/>
      <c r="AR23" s="1"/>
    </row>
    <row r="24" spans="2:44" ht="15" customHeight="1" x14ac:dyDescent="0.2">
      <c r="B24" s="39" t="s">
        <v>183</v>
      </c>
      <c r="C24" s="41">
        <v>0</v>
      </c>
      <c r="D24" s="41">
        <v>0</v>
      </c>
      <c r="E24" s="40" t="str">
        <f t="shared" si="9"/>
        <v/>
      </c>
      <c r="F24" s="5"/>
      <c r="H24" s="1">
        <v>1</v>
      </c>
      <c r="J24" s="1">
        <f t="shared" si="0"/>
        <v>0</v>
      </c>
      <c r="K24" s="1">
        <f t="shared" si="1"/>
        <v>0</v>
      </c>
      <c r="L24" s="1">
        <f t="shared" si="2"/>
        <v>0</v>
      </c>
      <c r="M24" s="1">
        <f t="shared" si="3"/>
        <v>0</v>
      </c>
      <c r="N24" s="1">
        <f t="shared" si="4"/>
        <v>0</v>
      </c>
      <c r="O24" s="1">
        <f t="shared" si="5"/>
        <v>0</v>
      </c>
      <c r="P24" s="1"/>
      <c r="Q24" s="1"/>
      <c r="R24" s="1">
        <f t="shared" si="7"/>
        <v>0</v>
      </c>
      <c r="U24" t="s">
        <v>353</v>
      </c>
      <c r="X24" s="1">
        <f>IF(X22&gt;0,X20/X22,0)</f>
        <v>0</v>
      </c>
      <c r="Y24" s="1"/>
      <c r="Z24" s="1" t="e">
        <f t="shared" si="8"/>
        <v>#DIV/0!</v>
      </c>
      <c r="AB24" s="1" t="s">
        <v>54</v>
      </c>
      <c r="AC24" s="10" t="str">
        <f>IF(Metadata!C18&gt;0,Metadata!C18,"")</f>
        <v/>
      </c>
      <c r="AD24" s="1"/>
      <c r="AE24" s="1" t="s">
        <v>121</v>
      </c>
      <c r="AF24" s="1" t="e">
        <f>1.64835175271255+(-0.674694495943321*AC39)</f>
        <v>#VALUE!</v>
      </c>
      <c r="AG24" s="1"/>
      <c r="AH24" s="1" t="s">
        <v>157</v>
      </c>
      <c r="AI24" s="1" t="e">
        <f>NORMSDIST(AF35)</f>
        <v>#VALUE!</v>
      </c>
      <c r="AK24" t="s">
        <v>215</v>
      </c>
      <c r="AL24" s="1" t="e">
        <f>POWER(SIN(AF24),2)</f>
        <v>#VALUE!</v>
      </c>
      <c r="AM24" s="1"/>
      <c r="AN24" s="1"/>
      <c r="AO24" s="1"/>
      <c r="AP24" s="1"/>
      <c r="AQ24" s="1"/>
    </row>
    <row r="25" spans="2:44" ht="15" customHeight="1" x14ac:dyDescent="0.2">
      <c r="B25" s="39" t="s">
        <v>10</v>
      </c>
      <c r="C25" s="41">
        <v>0</v>
      </c>
      <c r="D25" s="41">
        <v>0</v>
      </c>
      <c r="E25" s="40" t="str">
        <f t="shared" si="9"/>
        <v/>
      </c>
      <c r="F25" s="5"/>
      <c r="J25" s="1">
        <f t="shared" si="0"/>
        <v>0</v>
      </c>
      <c r="K25" s="1">
        <f t="shared" si="1"/>
        <v>0</v>
      </c>
      <c r="L25" s="1">
        <f t="shared" si="2"/>
        <v>0</v>
      </c>
      <c r="M25" s="1">
        <f t="shared" si="3"/>
        <v>0</v>
      </c>
      <c r="N25" s="1">
        <f t="shared" si="4"/>
        <v>0</v>
      </c>
      <c r="O25" s="1">
        <f t="shared" si="5"/>
        <v>0</v>
      </c>
      <c r="P25" s="1"/>
      <c r="Q25" s="1"/>
      <c r="R25" s="1">
        <f t="shared" si="7"/>
        <v>0</v>
      </c>
      <c r="X25" s="1"/>
      <c r="Y25" s="1"/>
      <c r="Z25" s="1" t="e">
        <f t="shared" si="8"/>
        <v>#DIV/0!</v>
      </c>
      <c r="AB25" s="1" t="s">
        <v>65</v>
      </c>
      <c r="AC25" s="1" t="e">
        <f>IF(AC24&gt;0,LOG10(AC24+1),"")</f>
        <v>#VALUE!</v>
      </c>
      <c r="AD25" s="1"/>
      <c r="AE25" s="1" t="s">
        <v>122</v>
      </c>
      <c r="AF25" s="1" t="e">
        <f>AC8-AF24</f>
        <v>#VALUE!</v>
      </c>
      <c r="AG25" s="1"/>
      <c r="AH25" s="1" t="s">
        <v>158</v>
      </c>
      <c r="AI25" s="1" t="str">
        <f>IF(AF38="","",NORMSDIST(AF38))</f>
        <v/>
      </c>
      <c r="AK25" t="s">
        <v>216</v>
      </c>
      <c r="AL25" s="1">
        <f>POWER(SIN(AF27),2)</f>
        <v>0.99964353602166756</v>
      </c>
      <c r="AM25" s="1"/>
      <c r="AN25" s="1"/>
      <c r="AO25" s="1"/>
      <c r="AP25" s="1"/>
      <c r="AR25" s="1"/>
    </row>
    <row r="26" spans="2:44" ht="15" customHeight="1" x14ac:dyDescent="0.2">
      <c r="B26" s="39" t="s">
        <v>24</v>
      </c>
      <c r="C26" s="41">
        <v>0</v>
      </c>
      <c r="D26" s="41">
        <v>0</v>
      </c>
      <c r="E26" s="40" t="str">
        <f t="shared" si="9"/>
        <v/>
      </c>
      <c r="F26" s="5"/>
      <c r="J26" s="1">
        <f t="shared" si="0"/>
        <v>0</v>
      </c>
      <c r="K26" s="1">
        <f t="shared" si="1"/>
        <v>0</v>
      </c>
      <c r="L26" s="1">
        <f t="shared" si="2"/>
        <v>0</v>
      </c>
      <c r="M26" s="1">
        <f t="shared" si="3"/>
        <v>0</v>
      </c>
      <c r="N26" s="1">
        <f t="shared" si="4"/>
        <v>0</v>
      </c>
      <c r="O26" s="1">
        <f t="shared" si="5"/>
        <v>0</v>
      </c>
      <c r="P26" s="1"/>
      <c r="Q26" s="1"/>
      <c r="R26" s="1">
        <f t="shared" si="7"/>
        <v>0</v>
      </c>
      <c r="U26" t="s">
        <v>354</v>
      </c>
      <c r="X26" s="1">
        <f>IF(X22&gt;0,X18/X22,0)</f>
        <v>0</v>
      </c>
      <c r="Y26" s="1"/>
      <c r="Z26" s="1" t="e">
        <f t="shared" si="8"/>
        <v>#DIV/0!</v>
      </c>
      <c r="AB26" s="1" t="s">
        <v>66</v>
      </c>
      <c r="AC26" s="1" t="str">
        <f>IF(Metadata!C23&gt;0,Metadata!C23,"")</f>
        <v/>
      </c>
      <c r="AD26" s="1"/>
      <c r="AE26" s="1" t="s">
        <v>123</v>
      </c>
      <c r="AF26" s="1" t="e">
        <f>AF25/0.339792643922404</f>
        <v>#VALUE!</v>
      </c>
      <c r="AG26" s="1"/>
      <c r="AH26" s="1" t="s">
        <v>159</v>
      </c>
      <c r="AI26" s="1" t="e">
        <f>NORMSDIST(AF45)</f>
        <v>#VALUE!</v>
      </c>
      <c r="AK26" t="s">
        <v>87</v>
      </c>
      <c r="AL26" s="1" t="e">
        <f>IF(AC13=1,AL23,AL22)</f>
        <v>#VALUE!</v>
      </c>
      <c r="AM26" s="1"/>
      <c r="AR26" s="1"/>
    </row>
    <row r="27" spans="2:44" ht="15" customHeight="1" x14ac:dyDescent="0.2">
      <c r="B27" s="39" t="s">
        <v>14</v>
      </c>
      <c r="C27" s="41">
        <v>0</v>
      </c>
      <c r="D27" s="41">
        <v>0</v>
      </c>
      <c r="E27" s="40" t="str">
        <f t="shared" si="9"/>
        <v/>
      </c>
      <c r="F27" s="5">
        <v>1</v>
      </c>
      <c r="H27" s="1">
        <v>1</v>
      </c>
      <c r="J27" s="1">
        <f t="shared" si="0"/>
        <v>0</v>
      </c>
      <c r="K27" s="1">
        <f t="shared" si="1"/>
        <v>0</v>
      </c>
      <c r="L27" s="1">
        <f t="shared" si="2"/>
        <v>0</v>
      </c>
      <c r="M27" s="1">
        <f t="shared" si="3"/>
        <v>0</v>
      </c>
      <c r="N27" s="1">
        <f t="shared" si="4"/>
        <v>0</v>
      </c>
      <c r="O27" s="1">
        <f t="shared" si="5"/>
        <v>0</v>
      </c>
      <c r="P27" s="1">
        <f t="shared" si="10"/>
        <v>0</v>
      </c>
      <c r="Q27" s="1">
        <f>IF(D27&gt;0,1,0)</f>
        <v>0</v>
      </c>
      <c r="R27" s="1">
        <f t="shared" si="7"/>
        <v>0</v>
      </c>
      <c r="X27" s="1"/>
      <c r="Y27" s="1"/>
      <c r="Z27" s="1" t="e">
        <f t="shared" si="8"/>
        <v>#DIV/0!</v>
      </c>
      <c r="AB27" s="1" t="s">
        <v>67</v>
      </c>
      <c r="AC27" s="1" t="e">
        <f>AC26*10</f>
        <v>#VALUE!</v>
      </c>
      <c r="AD27" s="1"/>
      <c r="AE27" s="1" t="s">
        <v>124</v>
      </c>
      <c r="AF27" s="1">
        <f>1.55191495126478+(-0.136214981950556*AC43)</f>
        <v>1.5519149512647801</v>
      </c>
      <c r="AG27" s="1"/>
      <c r="AH27" s="1" t="s">
        <v>160</v>
      </c>
      <c r="AI27" s="1" t="e">
        <f>1-NORMSDIST(AF44)</f>
        <v>#VALUE!</v>
      </c>
      <c r="AK27" t="s">
        <v>88</v>
      </c>
      <c r="AL27" s="1" t="e">
        <f>POWER(SIN(AF30),2)</f>
        <v>#VALUE!</v>
      </c>
      <c r="AM27" s="1"/>
      <c r="AR27" s="1"/>
    </row>
    <row r="28" spans="2:44" ht="15" customHeight="1" x14ac:dyDescent="0.2">
      <c r="B28" s="39" t="s">
        <v>184</v>
      </c>
      <c r="C28" s="41">
        <v>0</v>
      </c>
      <c r="D28" s="41">
        <v>0</v>
      </c>
      <c r="E28" s="40" t="str">
        <f t="shared" si="9"/>
        <v/>
      </c>
      <c r="F28" s="5">
        <v>1</v>
      </c>
      <c r="H28" s="1">
        <v>1</v>
      </c>
      <c r="J28" s="1">
        <f t="shared" si="0"/>
        <v>0</v>
      </c>
      <c r="K28" s="1">
        <f t="shared" si="1"/>
        <v>0</v>
      </c>
      <c r="L28" s="1">
        <f t="shared" si="2"/>
        <v>0</v>
      </c>
      <c r="M28" s="1">
        <f t="shared" si="3"/>
        <v>0</v>
      </c>
      <c r="N28" s="1">
        <f t="shared" si="4"/>
        <v>0</v>
      </c>
      <c r="O28" s="1">
        <f t="shared" si="5"/>
        <v>0</v>
      </c>
      <c r="P28" s="1"/>
      <c r="Q28" s="1"/>
      <c r="R28" s="1">
        <f t="shared" si="7"/>
        <v>0</v>
      </c>
      <c r="U28" t="s">
        <v>352</v>
      </c>
      <c r="X28" s="1">
        <f>IF(X8&gt;0,X16/X8,0)</f>
        <v>0</v>
      </c>
      <c r="Y28" s="1"/>
      <c r="Z28" s="1" t="e">
        <f t="shared" si="8"/>
        <v>#DIV/0!</v>
      </c>
      <c r="AB28" s="1" t="s">
        <v>68</v>
      </c>
      <c r="AC28" s="1" t="e">
        <f>IF(AC27&gt;0,LOG10(AC27+1),"")</f>
        <v>#VALUE!</v>
      </c>
      <c r="AD28" s="1"/>
      <c r="AE28" s="1" t="s">
        <v>125</v>
      </c>
      <c r="AF28" s="1">
        <f>AC8-AF27</f>
        <v>-1.5519149512647801</v>
      </c>
      <c r="AG28" s="1"/>
      <c r="AH28" s="1" t="s">
        <v>161</v>
      </c>
      <c r="AI28" s="1" t="e">
        <f>2*NORMSDIST(-ABS(AF32))</f>
        <v>#VALUE!</v>
      </c>
      <c r="AK28" t="s">
        <v>89</v>
      </c>
      <c r="AL28" s="1" t="e">
        <f>POWER(SIN(AF33),2)</f>
        <v>#VALUE!</v>
      </c>
      <c r="AM28" s="1"/>
      <c r="AN28" s="1"/>
      <c r="AR28" s="1"/>
    </row>
    <row r="29" spans="2:44" ht="15" customHeight="1" x14ac:dyDescent="0.2">
      <c r="B29" s="39" t="s">
        <v>185</v>
      </c>
      <c r="C29" s="41">
        <v>0</v>
      </c>
      <c r="D29" s="41">
        <v>0</v>
      </c>
      <c r="E29" s="40" t="str">
        <f t="shared" si="9"/>
        <v/>
      </c>
      <c r="F29" s="5"/>
      <c r="H29" s="1">
        <v>1</v>
      </c>
      <c r="J29" s="1">
        <f t="shared" si="0"/>
        <v>0</v>
      </c>
      <c r="K29" s="1">
        <f t="shared" si="1"/>
        <v>0</v>
      </c>
      <c r="L29" s="1">
        <f t="shared" si="2"/>
        <v>0</v>
      </c>
      <c r="M29" s="1">
        <f t="shared" si="3"/>
        <v>0</v>
      </c>
      <c r="N29" s="1">
        <f t="shared" si="4"/>
        <v>0</v>
      </c>
      <c r="O29" s="1">
        <f t="shared" si="5"/>
        <v>0</v>
      </c>
      <c r="P29" s="1"/>
      <c r="Q29" s="1"/>
      <c r="R29" s="1">
        <f t="shared" si="7"/>
        <v>0</v>
      </c>
      <c r="X29" s="1"/>
      <c r="Y29" s="1"/>
      <c r="Z29" s="1" t="e">
        <f t="shared" si="8"/>
        <v>#DIV/0!</v>
      </c>
      <c r="AB29" s="1" t="s">
        <v>69</v>
      </c>
      <c r="AC29" s="1">
        <f>IF(Metadata!C26&gt;-9,Metadata!C26,"")</f>
        <v>0</v>
      </c>
      <c r="AD29" s="1"/>
      <c r="AE29" s="1" t="s">
        <v>126</v>
      </c>
      <c r="AF29" s="1">
        <f>AF28/0.141661256748146</f>
        <v>-10.955112123732382</v>
      </c>
      <c r="AG29" s="1"/>
      <c r="AH29" s="1" t="s">
        <v>247</v>
      </c>
      <c r="AI29" s="1" t="e">
        <f>2*NORMSDIST(-ABS(AF41))</f>
        <v>#DIV/0!</v>
      </c>
      <c r="AK29" t="s">
        <v>90</v>
      </c>
      <c r="AL29" s="1" t="e">
        <f>POWER(SIN(AF36),2)</f>
        <v>#VALUE!</v>
      </c>
      <c r="AM29" s="1"/>
      <c r="AN29" s="1"/>
      <c r="AO29" s="1"/>
      <c r="AP29" s="1"/>
      <c r="AR29" s="1"/>
    </row>
    <row r="30" spans="2:44" ht="15" customHeight="1" x14ac:dyDescent="0.2">
      <c r="B30" s="39" t="s">
        <v>17</v>
      </c>
      <c r="C30" s="41">
        <v>0</v>
      </c>
      <c r="D30" s="41">
        <v>0</v>
      </c>
      <c r="E30" s="40" t="str">
        <f t="shared" si="9"/>
        <v/>
      </c>
      <c r="F30" s="5"/>
      <c r="H30" s="1">
        <v>1</v>
      </c>
      <c r="J30" s="1">
        <f t="shared" si="0"/>
        <v>0</v>
      </c>
      <c r="K30" s="1">
        <f t="shared" si="1"/>
        <v>0</v>
      </c>
      <c r="L30" s="1">
        <f t="shared" si="2"/>
        <v>0</v>
      </c>
      <c r="M30" s="1">
        <f t="shared" si="3"/>
        <v>0</v>
      </c>
      <c r="N30" s="1">
        <f t="shared" si="4"/>
        <v>0</v>
      </c>
      <c r="O30" s="1">
        <f t="shared" si="5"/>
        <v>0</v>
      </c>
      <c r="P30" s="1"/>
      <c r="Q30" s="1"/>
      <c r="R30" s="1">
        <f t="shared" si="7"/>
        <v>0</v>
      </c>
      <c r="U30" t="s">
        <v>351</v>
      </c>
      <c r="X30" s="1">
        <f>IF(X8&gt;0,X12/X8,0)</f>
        <v>0</v>
      </c>
      <c r="Y30" s="1"/>
      <c r="Z30" s="1" t="e">
        <f t="shared" si="8"/>
        <v>#DIV/0!</v>
      </c>
      <c r="AB30" s="1" t="s">
        <v>70</v>
      </c>
      <c r="AC30" s="1">
        <f>IF(AC29&lt;0,-LOG10(ABS(AC29)+1),LOG10(ABS(AC29)+1))</f>
        <v>0</v>
      </c>
      <c r="AD30" s="1"/>
      <c r="AE30" s="1" t="s">
        <v>127</v>
      </c>
      <c r="AF30" s="1" t="e">
        <f>-0.380400842756924+(0.431248726997434*AC43)+(0.266174966773411*AC39)+(0.145774142611171*AC37)+(-0.569232915278076*AC23)+(0.453944805788116*AC40)</f>
        <v>#VALUE!</v>
      </c>
      <c r="AG30" s="1"/>
      <c r="AH30" s="1" t="s">
        <v>162</v>
      </c>
      <c r="AI30" s="1" t="e">
        <f>NORMSDIST(AF45)</f>
        <v>#VALUE!</v>
      </c>
      <c r="AK30" t="s">
        <v>92</v>
      </c>
      <c r="AL30" s="1" t="e">
        <f>POWER(SIN(AF39),2)</f>
        <v>#VALUE!</v>
      </c>
      <c r="AM30" s="1"/>
      <c r="AR30" s="1"/>
    </row>
    <row r="31" spans="2:44" ht="15" customHeight="1" x14ac:dyDescent="0.2">
      <c r="B31" s="39" t="s">
        <v>186</v>
      </c>
      <c r="C31" s="41">
        <v>0</v>
      </c>
      <c r="D31" s="41">
        <v>0</v>
      </c>
      <c r="E31" s="40" t="str">
        <f t="shared" si="9"/>
        <v/>
      </c>
      <c r="F31" s="5">
        <v>1</v>
      </c>
      <c r="H31" s="1">
        <v>1</v>
      </c>
      <c r="J31" s="1">
        <f t="shared" si="0"/>
        <v>0</v>
      </c>
      <c r="K31" s="1">
        <f t="shared" si="1"/>
        <v>0</v>
      </c>
      <c r="L31" s="1">
        <f t="shared" si="2"/>
        <v>0</v>
      </c>
      <c r="M31" s="1">
        <f t="shared" si="3"/>
        <v>0</v>
      </c>
      <c r="N31" s="1">
        <f t="shared" si="4"/>
        <v>0</v>
      </c>
      <c r="O31" s="1">
        <f t="shared" si="5"/>
        <v>0</v>
      </c>
      <c r="P31" s="1"/>
      <c r="Q31" s="1"/>
      <c r="R31" s="1">
        <f t="shared" si="7"/>
        <v>0</v>
      </c>
      <c r="X31" s="1"/>
      <c r="Y31" s="1"/>
      <c r="Z31" s="1" t="e">
        <f t="shared" si="8"/>
        <v>#DIV/0!</v>
      </c>
      <c r="AB31" s="1" t="s">
        <v>71</v>
      </c>
      <c r="AC31" s="1" t="str">
        <f>IF(Metadata!C27="","",Metadata!C27)</f>
        <v/>
      </c>
      <c r="AD31" s="1"/>
      <c r="AE31" s="1" t="s">
        <v>128</v>
      </c>
      <c r="AF31" s="1" t="e">
        <f>AC9-AF30</f>
        <v>#VALUE!</v>
      </c>
      <c r="AG31" s="1"/>
      <c r="AH31" s="1" t="s">
        <v>163</v>
      </c>
      <c r="AI31" s="1" t="e">
        <f>2*NORMSDIST(-ABS(AF44))</f>
        <v>#VALUE!</v>
      </c>
      <c r="AR31" s="1"/>
    </row>
    <row r="32" spans="2:44" ht="15" customHeight="1" x14ac:dyDescent="0.2">
      <c r="B32" s="39" t="s">
        <v>26</v>
      </c>
      <c r="C32" s="41">
        <v>0</v>
      </c>
      <c r="D32" s="41">
        <v>0</v>
      </c>
      <c r="E32" s="40" t="str">
        <f t="shared" si="9"/>
        <v/>
      </c>
      <c r="F32" s="5"/>
      <c r="G32" s="1">
        <v>1</v>
      </c>
      <c r="J32" s="1">
        <f t="shared" si="0"/>
        <v>0</v>
      </c>
      <c r="K32" s="1">
        <f t="shared" si="1"/>
        <v>0</v>
      </c>
      <c r="L32" s="1">
        <f t="shared" si="2"/>
        <v>0</v>
      </c>
      <c r="M32" s="1">
        <f t="shared" si="3"/>
        <v>0</v>
      </c>
      <c r="N32" s="1">
        <f t="shared" si="4"/>
        <v>0</v>
      </c>
      <c r="O32" s="1">
        <f t="shared" si="5"/>
        <v>0</v>
      </c>
      <c r="P32" s="1"/>
      <c r="Q32" s="1"/>
      <c r="R32" s="1">
        <f t="shared" si="7"/>
        <v>0</v>
      </c>
      <c r="U32" t="s">
        <v>91</v>
      </c>
      <c r="X32" s="1" t="e">
        <f>1-Z57</f>
        <v>#DIV/0!</v>
      </c>
      <c r="Y32" s="1"/>
      <c r="Z32" s="1" t="e">
        <f t="shared" si="8"/>
        <v>#DIV/0!</v>
      </c>
      <c r="AB32" s="1" t="s">
        <v>72</v>
      </c>
      <c r="AC32" s="1">
        <f>IF(AC31="2 - 4",3,IF(AC31="4 - 6",5,IF(AC31="6 - 8",7,IF(AC31="8 - 10",9,IF(AC31="10 - 11",10.5,IF(AC31="11 - 12",11.5,IF(AC31="12 - 13",12.5,IF(AC31="13 - 14",13.5,IF(AC31="14 - 15",14.5,IF(AC31="15 - 16",15.5,IF(AC31="16 - 17",16.5,-9)))))))))))</f>
        <v>-9</v>
      </c>
      <c r="AD32" s="1"/>
      <c r="AE32" s="1" t="s">
        <v>129</v>
      </c>
      <c r="AF32" s="1" t="e">
        <f>AF31/0.223461925388469</f>
        <v>#VALUE!</v>
      </c>
      <c r="AG32" s="1"/>
      <c r="AH32" s="1" t="s">
        <v>164</v>
      </c>
      <c r="AI32" s="1" t="e">
        <f>NORMSDIST(AF32)</f>
        <v>#VALUE!</v>
      </c>
      <c r="AN32" s="1"/>
      <c r="AR32" s="1"/>
    </row>
    <row r="33" spans="2:44" ht="15" customHeight="1" x14ac:dyDescent="0.2">
      <c r="B33" s="39" t="s">
        <v>187</v>
      </c>
      <c r="C33" s="41">
        <v>0</v>
      </c>
      <c r="D33" s="41">
        <v>0</v>
      </c>
      <c r="E33" s="40" t="str">
        <f t="shared" si="9"/>
        <v/>
      </c>
      <c r="F33" s="5"/>
      <c r="J33" s="1">
        <f t="shared" si="0"/>
        <v>0</v>
      </c>
      <c r="K33" s="1">
        <f t="shared" si="1"/>
        <v>0</v>
      </c>
      <c r="L33" s="1">
        <f t="shared" si="2"/>
        <v>0</v>
      </c>
      <c r="M33" s="1">
        <f t="shared" si="3"/>
        <v>0</v>
      </c>
      <c r="N33" s="1">
        <f t="shared" si="4"/>
        <v>0</v>
      </c>
      <c r="O33" s="1">
        <f t="shared" si="5"/>
        <v>0</v>
      </c>
      <c r="P33" s="1"/>
      <c r="Q33" s="1"/>
      <c r="R33" s="1"/>
      <c r="X33" s="1"/>
      <c r="Y33" s="1"/>
      <c r="Z33" s="1" t="e">
        <f t="shared" si="8"/>
        <v>#DIV/0!</v>
      </c>
      <c r="AB33" s="1" t="s">
        <v>73</v>
      </c>
      <c r="AC33" s="1" t="str">
        <f>IF(AC32&gt;0,LOG10(AC32+1),"")</f>
        <v/>
      </c>
      <c r="AD33" s="1"/>
      <c r="AE33" s="1" t="s">
        <v>130</v>
      </c>
      <c r="AF33" s="1" t="e">
        <f>1.67426269530821+(-0.427034404615515*AC19)+(-1.38320907643694*AC43)+(-0.0628567969967429*AC46)+(0.793575702496459*AC30)+(0.0807737895801519*AC42)+(0.193735148890397*AC23)+(-0.16013964560728*AC41)+(-0.535759053943157*AC38)+(0.44486062193445*AC25)</f>
        <v>#VALUE!</v>
      </c>
      <c r="AG33" s="1"/>
      <c r="AH33" s="1" t="s">
        <v>236</v>
      </c>
      <c r="AI33" s="1" t="e">
        <f>1-_xlfn.NORM.DIST(0.7492,AL12,AF47,TRUE)</f>
        <v>#VALUE!</v>
      </c>
      <c r="AN33" s="1"/>
      <c r="AR33" s="1"/>
    </row>
    <row r="34" spans="2:44" ht="15" customHeight="1" x14ac:dyDescent="0.2">
      <c r="B34" s="39" t="s">
        <v>201</v>
      </c>
      <c r="C34" s="41">
        <v>0</v>
      </c>
      <c r="D34" s="41">
        <v>0</v>
      </c>
      <c r="E34" s="40" t="str">
        <f t="shared" si="9"/>
        <v/>
      </c>
      <c r="F34" s="5"/>
      <c r="J34" s="1">
        <f t="shared" ref="J34" si="11">R34*F34</f>
        <v>0</v>
      </c>
      <c r="K34" s="1">
        <f t="shared" ref="K34" si="12">R34*G34</f>
        <v>0</v>
      </c>
      <c r="L34" s="1">
        <f t="shared" ref="L34" si="13">R34*I34</f>
        <v>0</v>
      </c>
      <c r="M34" s="1">
        <f t="shared" ref="M34" si="14">R34*H34</f>
        <v>0</v>
      </c>
      <c r="N34" s="1">
        <f t="shared" si="4"/>
        <v>0</v>
      </c>
      <c r="O34" s="1">
        <f t="shared" si="5"/>
        <v>0</v>
      </c>
      <c r="P34" s="1"/>
      <c r="Q34" s="1"/>
      <c r="R34" s="1"/>
      <c r="U34" t="s">
        <v>355</v>
      </c>
      <c r="X34" s="12" t="str">
        <f>IF(P60&gt;0,Q60/P60,"")</f>
        <v/>
      </c>
      <c r="Y34" s="1"/>
      <c r="Z34" s="1" t="e">
        <f t="shared" si="8"/>
        <v>#DIV/0!</v>
      </c>
      <c r="AB34" s="1" t="s">
        <v>0</v>
      </c>
      <c r="AC34" s="10" t="str">
        <f>IF(Metadata!C13&gt;0,Metadata!C13,"")</f>
        <v/>
      </c>
      <c r="AD34" s="1"/>
      <c r="AE34" s="1" t="s">
        <v>131</v>
      </c>
      <c r="AF34" s="1" t="e">
        <f>AC10-AF33</f>
        <v>#VALUE!</v>
      </c>
      <c r="AG34" s="1"/>
      <c r="AH34" s="1" t="s">
        <v>237</v>
      </c>
      <c r="AI34" s="1" t="e">
        <f>1-_xlfn.NORM.DIST(0.46675,AL12,AF47,TRUE)</f>
        <v>#VALUE!</v>
      </c>
      <c r="AN34" s="1"/>
    </row>
    <row r="35" spans="2:44" ht="15" customHeight="1" x14ac:dyDescent="0.2">
      <c r="B35" s="5" t="s">
        <v>438</v>
      </c>
      <c r="C35" s="41">
        <v>0</v>
      </c>
      <c r="D35" s="41">
        <v>0</v>
      </c>
      <c r="F35" s="1">
        <v>1</v>
      </c>
      <c r="H35" s="1">
        <v>1</v>
      </c>
      <c r="J35" s="1">
        <f t="shared" ref="J35" si="15">R35*F35</f>
        <v>0</v>
      </c>
      <c r="K35" s="1">
        <f t="shared" ref="K35" si="16">R35*G35</f>
        <v>0</v>
      </c>
      <c r="L35" s="1">
        <f t="shared" ref="L35" si="17">R35*I35</f>
        <v>0</v>
      </c>
      <c r="M35" s="1">
        <f t="shared" ref="M35" si="18">R35*H35</f>
        <v>0</v>
      </c>
      <c r="N35" s="1">
        <f t="shared" ref="N35" si="19">IF(C35&lt;0,0,IF(C35="",0,C35))</f>
        <v>0</v>
      </c>
      <c r="O35" s="1">
        <f t="shared" ref="O35" si="20">IF(D35&lt;0,0,IF(D35="",0,D35))</f>
        <v>0</v>
      </c>
      <c r="X35" s="1"/>
      <c r="Y35" s="1"/>
      <c r="Z35" s="1" t="e">
        <f t="shared" ref="Z35:Z52" si="21">POWER(R36/$X$8,2)</f>
        <v>#DIV/0!</v>
      </c>
      <c r="AB35" s="1" t="s">
        <v>74</v>
      </c>
      <c r="AC35" s="1" t="e">
        <f>IF(AC34&gt;0,LOG10(AC34+1),"")</f>
        <v>#VALUE!</v>
      </c>
      <c r="AD35" s="1"/>
      <c r="AE35" s="1" t="s">
        <v>132</v>
      </c>
      <c r="AF35" s="1" t="e">
        <f>AF34/0.396569266432725</f>
        <v>#VALUE!</v>
      </c>
      <c r="AG35" s="1"/>
      <c r="AH35" s="1" t="s">
        <v>238</v>
      </c>
      <c r="AI35" s="1" t="e">
        <f>1-_xlfn.NORM.DIST(0.27403,AL12,AF47,TRUE)</f>
        <v>#VALUE!</v>
      </c>
    </row>
    <row r="36" spans="2:44" ht="15" customHeight="1" x14ac:dyDescent="0.2">
      <c r="B36" s="39" t="s">
        <v>20</v>
      </c>
      <c r="C36" s="41">
        <v>0</v>
      </c>
      <c r="D36" s="41">
        <v>0</v>
      </c>
      <c r="E36" s="40" t="str">
        <f t="shared" ref="E36:E53" si="22">IF(OR(C36&lt;0,D36&lt;0,C36="",D36=""),"Ska vara 0 eller positiva tal.","")</f>
        <v/>
      </c>
      <c r="F36" s="5"/>
      <c r="J36" s="1">
        <f>R36*F36</f>
        <v>0</v>
      </c>
      <c r="K36" s="1">
        <f>R36*G36</f>
        <v>0</v>
      </c>
      <c r="L36" s="1">
        <f>R36*I36</f>
        <v>0</v>
      </c>
      <c r="M36" s="1">
        <f>R36*H36</f>
        <v>0</v>
      </c>
      <c r="N36" s="1">
        <f t="shared" ref="N36:O39" si="23">IF(C36&lt;0,0,IF(C36="",0,C36))</f>
        <v>0</v>
      </c>
      <c r="O36" s="1">
        <f t="shared" si="23"/>
        <v>0</v>
      </c>
      <c r="P36" s="1"/>
      <c r="Q36" s="1"/>
      <c r="R36" s="1">
        <f>N36+O36</f>
        <v>0</v>
      </c>
      <c r="U36" t="s">
        <v>203</v>
      </c>
      <c r="X36" s="1">
        <f>TRUNC((Metadata!C12-((TRUNC(Metadata!C12/10000))*10000))/100)</f>
        <v>0</v>
      </c>
      <c r="Y36" s="1"/>
      <c r="Z36" s="1" t="e">
        <f t="shared" si="21"/>
        <v>#DIV/0!</v>
      </c>
      <c r="AB36" s="1" t="s">
        <v>8</v>
      </c>
      <c r="AC36" s="11" t="str">
        <f>IF(Metadata!C14="","",Metadata!C14)</f>
        <v/>
      </c>
      <c r="AD36" s="1"/>
      <c r="AE36" s="1" t="s">
        <v>133</v>
      </c>
      <c r="AF36" s="1" t="e">
        <f>2.0105+(-2.14843555889678*AC16)</f>
        <v>#VALUE!</v>
      </c>
      <c r="AG36" s="1"/>
      <c r="AH36" s="1" t="s">
        <v>239</v>
      </c>
      <c r="AI36" s="1" t="e">
        <f>1-_xlfn.NORM.DIST(0.0813,AL12,AF47,TRUE)</f>
        <v>#VALUE!</v>
      </c>
    </row>
    <row r="37" spans="2:44" ht="15" customHeight="1" x14ac:dyDescent="0.2">
      <c r="B37" s="39" t="s">
        <v>13</v>
      </c>
      <c r="C37" s="41">
        <v>0</v>
      </c>
      <c r="D37" s="41">
        <v>0</v>
      </c>
      <c r="E37" s="40" t="str">
        <f t="shared" si="22"/>
        <v/>
      </c>
      <c r="F37" s="5"/>
      <c r="G37" s="1">
        <v>1</v>
      </c>
      <c r="J37" s="1">
        <f>R37*F37</f>
        <v>0</v>
      </c>
      <c r="K37" s="1">
        <f>R37*G37</f>
        <v>0</v>
      </c>
      <c r="L37" s="1">
        <f>R37*I37</f>
        <v>0</v>
      </c>
      <c r="M37" s="1">
        <f>R37*H37</f>
        <v>0</v>
      </c>
      <c r="N37" s="1">
        <f t="shared" si="23"/>
        <v>0</v>
      </c>
      <c r="O37" s="1">
        <f t="shared" si="23"/>
        <v>0</v>
      </c>
      <c r="P37" s="1"/>
      <c r="Q37" s="1"/>
      <c r="R37" s="1">
        <f>N37+O37</f>
        <v>0</v>
      </c>
      <c r="X37" s="1"/>
      <c r="Y37" s="1"/>
      <c r="Z37" s="1" t="e">
        <f t="shared" si="21"/>
        <v>#DIV/0!</v>
      </c>
      <c r="AB37" s="1" t="s">
        <v>75</v>
      </c>
      <c r="AC37" s="1" t="e">
        <f>IF(AC36&gt;0,LOG10(AC36+1),"")</f>
        <v>#VALUE!</v>
      </c>
      <c r="AD37" s="1"/>
      <c r="AE37" s="1" t="s">
        <v>134</v>
      </c>
      <c r="AF37" s="1" t="str">
        <f>IF(AC11="","",AC11-AF36)</f>
        <v/>
      </c>
      <c r="AG37" s="1"/>
      <c r="AH37" s="1" t="s">
        <v>240</v>
      </c>
      <c r="AI37" s="1">
        <v>1</v>
      </c>
    </row>
    <row r="38" spans="2:44" ht="15" customHeight="1" x14ac:dyDescent="0.2">
      <c r="B38" s="39" t="s">
        <v>188</v>
      </c>
      <c r="C38" s="41">
        <v>0</v>
      </c>
      <c r="D38" s="41">
        <v>0</v>
      </c>
      <c r="E38" s="40" t="str">
        <f t="shared" si="22"/>
        <v/>
      </c>
      <c r="F38" s="5">
        <v>1</v>
      </c>
      <c r="H38" s="1">
        <v>1</v>
      </c>
      <c r="J38" s="1">
        <f>R38*F38</f>
        <v>0</v>
      </c>
      <c r="K38" s="1">
        <f>R38*G38</f>
        <v>0</v>
      </c>
      <c r="L38" s="1">
        <f>R38*I38</f>
        <v>0</v>
      </c>
      <c r="M38" s="1">
        <f>R38*H38</f>
        <v>0</v>
      </c>
      <c r="N38" s="1">
        <f t="shared" si="23"/>
        <v>0</v>
      </c>
      <c r="O38" s="1">
        <f t="shared" si="23"/>
        <v>0</v>
      </c>
      <c r="P38" s="1"/>
      <c r="Q38" s="1"/>
      <c r="R38" s="1">
        <f>N38+O38</f>
        <v>0</v>
      </c>
      <c r="U38" t="s">
        <v>205</v>
      </c>
      <c r="X38" s="1" t="str">
        <f>IF(C34&gt;0,"Ja",IF(D34&gt;0,"Ja","Nej"))</f>
        <v>Nej</v>
      </c>
      <c r="Y38" s="1"/>
      <c r="Z38" s="1" t="e">
        <f t="shared" si="21"/>
        <v>#DIV/0!</v>
      </c>
      <c r="AB38" s="1" t="s">
        <v>76</v>
      </c>
      <c r="AC38" s="1" t="e">
        <f>POWER(AC16,2)</f>
        <v>#VALUE!</v>
      </c>
      <c r="AD38" s="1"/>
      <c r="AE38" s="1" t="s">
        <v>135</v>
      </c>
      <c r="AF38" s="1" t="str">
        <f>IF(AF37="","",AF37/0.718621435811026)</f>
        <v/>
      </c>
      <c r="AG38" s="1"/>
      <c r="AH38" s="1" t="s">
        <v>97</v>
      </c>
      <c r="AI38" s="1">
        <f>IF(X22=0,0,AI33)</f>
        <v>0</v>
      </c>
    </row>
    <row r="39" spans="2:44" ht="15" customHeight="1" x14ac:dyDescent="0.2">
      <c r="B39" s="39" t="s">
        <v>189</v>
      </c>
      <c r="C39" s="41">
        <v>0</v>
      </c>
      <c r="D39" s="41">
        <v>0</v>
      </c>
      <c r="E39" s="40" t="str">
        <f t="shared" si="22"/>
        <v/>
      </c>
      <c r="F39" s="5"/>
      <c r="J39" s="1">
        <f>R39*F39</f>
        <v>0</v>
      </c>
      <c r="K39" s="1">
        <f>R39*G39</f>
        <v>0</v>
      </c>
      <c r="L39" s="1">
        <f>R39*I39</f>
        <v>0</v>
      </c>
      <c r="M39" s="1">
        <f>R39*H39</f>
        <v>0</v>
      </c>
      <c r="N39" s="1">
        <f t="shared" si="23"/>
        <v>0</v>
      </c>
      <c r="O39" s="1">
        <f t="shared" si="23"/>
        <v>0</v>
      </c>
      <c r="P39" s="1"/>
      <c r="Q39" s="1"/>
      <c r="R39" s="1">
        <f>N39+O39</f>
        <v>0</v>
      </c>
      <c r="X39" s="1"/>
      <c r="Y39" s="1"/>
      <c r="Z39" s="1" t="e">
        <f t="shared" si="21"/>
        <v>#DIV/0!</v>
      </c>
      <c r="AB39" s="1" t="s">
        <v>77</v>
      </c>
      <c r="AC39" s="1" t="e">
        <f>POWER(AC19,2)</f>
        <v>#VALUE!</v>
      </c>
      <c r="AD39" s="1"/>
      <c r="AE39" s="1" t="s">
        <v>136</v>
      </c>
      <c r="AF39" s="1" t="e">
        <f>-1.90280668580514+(0.359663932576588*AC16)+(-0.0723165226265136*AC42)+(0.270232630085571*AC37)+(1.33821191193187*AC33)+(0.135583095711685*AC23)</f>
        <v>#VALUE!</v>
      </c>
      <c r="AG39" s="1"/>
      <c r="AH39" s="1" t="s">
        <v>98</v>
      </c>
      <c r="AI39" s="1">
        <f>IF(X22=0,0,AI34-AI38)</f>
        <v>0</v>
      </c>
    </row>
    <row r="40" spans="2:44" ht="15" customHeight="1" x14ac:dyDescent="0.2">
      <c r="B40" s="39" t="s">
        <v>27</v>
      </c>
      <c r="C40" s="41">
        <v>0</v>
      </c>
      <c r="D40" s="41">
        <v>0</v>
      </c>
      <c r="E40" s="40" t="str">
        <f t="shared" si="22"/>
        <v/>
      </c>
      <c r="F40" s="5"/>
      <c r="J40" s="1">
        <f>R40*F40</f>
        <v>0</v>
      </c>
      <c r="K40" s="1">
        <f>R40*G40</f>
        <v>0</v>
      </c>
      <c r="L40" s="1">
        <f>R40*I40</f>
        <v>0</v>
      </c>
      <c r="M40" s="1">
        <f>R40*H40</f>
        <v>0</v>
      </c>
      <c r="N40" s="1">
        <f t="shared" ref="N40:N53" si="24">IF(C40&lt;0,0,IF(C40="",0,C40))</f>
        <v>0</v>
      </c>
      <c r="O40" s="1">
        <f t="shared" ref="O40:O53" si="25">IF(D40&lt;0,0,IF(D40="",0,D40))</f>
        <v>0</v>
      </c>
      <c r="P40" s="1"/>
      <c r="Q40" s="1"/>
      <c r="R40" s="1">
        <f>N40+O40</f>
        <v>0</v>
      </c>
      <c r="U40" t="s">
        <v>217</v>
      </c>
      <c r="X40" s="1">
        <f>IF(X22&gt;0,X8/X22,0)</f>
        <v>0</v>
      </c>
      <c r="Y40" s="1"/>
      <c r="Z40" s="1" t="e">
        <f t="shared" si="21"/>
        <v>#DIV/0!</v>
      </c>
      <c r="AB40" s="1" t="s">
        <v>78</v>
      </c>
      <c r="AC40" s="1" t="e">
        <f>POWER(AC23,2)</f>
        <v>#VALUE!</v>
      </c>
      <c r="AD40" s="1"/>
      <c r="AE40" s="1" t="s">
        <v>137</v>
      </c>
      <c r="AF40" s="1" t="e">
        <f>AC12-AF39</f>
        <v>#DIV/0!</v>
      </c>
      <c r="AG40" s="1"/>
      <c r="AH40" s="1" t="s">
        <v>99</v>
      </c>
      <c r="AI40" s="1">
        <f>IF(X22=0,0,AI35-AI38-AI39)</f>
        <v>0</v>
      </c>
    </row>
    <row r="41" spans="2:44" ht="15" customHeight="1" x14ac:dyDescent="0.2">
      <c r="B41" s="39" t="s">
        <v>190</v>
      </c>
      <c r="C41" s="41">
        <v>0</v>
      </c>
      <c r="D41" s="41">
        <v>0</v>
      </c>
      <c r="E41" s="40" t="str">
        <f t="shared" si="22"/>
        <v/>
      </c>
      <c r="F41" s="5"/>
      <c r="H41" s="1">
        <v>1</v>
      </c>
      <c r="J41" s="1">
        <f t="shared" ref="J41:J45" si="26">R41*F41</f>
        <v>0</v>
      </c>
      <c r="K41" s="1">
        <f t="shared" ref="K41:K45" si="27">R41*G41</f>
        <v>0</v>
      </c>
      <c r="L41" s="1">
        <f t="shared" ref="L41:L45" si="28">R41*I41</f>
        <v>0</v>
      </c>
      <c r="M41" s="1">
        <f t="shared" ref="M41:M45" si="29">R41*H41</f>
        <v>0</v>
      </c>
      <c r="N41" s="1">
        <f t="shared" si="24"/>
        <v>0</v>
      </c>
      <c r="O41" s="1">
        <f t="shared" si="25"/>
        <v>0</v>
      </c>
      <c r="P41" s="1"/>
      <c r="Q41" s="1"/>
      <c r="R41" s="1">
        <f t="shared" ref="R41:R45" si="30">N41+O41</f>
        <v>0</v>
      </c>
      <c r="X41" s="1"/>
      <c r="Y41" s="1"/>
      <c r="Z41" s="1" t="e">
        <f t="shared" si="21"/>
        <v>#DIV/0!</v>
      </c>
      <c r="AB41" s="1" t="s">
        <v>79</v>
      </c>
      <c r="AC41" s="1" t="e">
        <f>POWER(AC25,2)</f>
        <v>#VALUE!</v>
      </c>
      <c r="AD41" s="1"/>
      <c r="AE41" s="1" t="s">
        <v>138</v>
      </c>
      <c r="AF41" s="1" t="e">
        <f>AF40/0.286128657049128</f>
        <v>#DIV/0!</v>
      </c>
      <c r="AG41" s="1"/>
      <c r="AH41" s="1" t="s">
        <v>100</v>
      </c>
      <c r="AI41" s="1">
        <f>IF(X22=0,0,AI36-AI40-AI39-AI38)</f>
        <v>0</v>
      </c>
    </row>
    <row r="42" spans="2:44" ht="15" customHeight="1" x14ac:dyDescent="0.2">
      <c r="B42" s="39" t="s">
        <v>21</v>
      </c>
      <c r="C42" s="41">
        <v>0</v>
      </c>
      <c r="D42" s="41">
        <v>0</v>
      </c>
      <c r="E42" s="40" t="str">
        <f t="shared" si="22"/>
        <v/>
      </c>
      <c r="F42" s="5"/>
      <c r="G42" s="1">
        <v>1</v>
      </c>
      <c r="J42" s="1">
        <f t="shared" si="26"/>
        <v>0</v>
      </c>
      <c r="K42" s="1">
        <f t="shared" si="27"/>
        <v>0</v>
      </c>
      <c r="L42" s="1">
        <f t="shared" si="28"/>
        <v>0</v>
      </c>
      <c r="M42" s="1">
        <f t="shared" si="29"/>
        <v>0</v>
      </c>
      <c r="N42" s="1">
        <f t="shared" si="24"/>
        <v>0</v>
      </c>
      <c r="O42" s="1">
        <f t="shared" si="25"/>
        <v>0</v>
      </c>
      <c r="P42" s="1"/>
      <c r="Q42" s="1"/>
      <c r="R42" s="1">
        <f t="shared" si="30"/>
        <v>0</v>
      </c>
      <c r="U42" t="s">
        <v>94</v>
      </c>
      <c r="X42" s="1" t="str">
        <f>IF(X22=0,"Ja","Nej")</f>
        <v>Ja</v>
      </c>
      <c r="Y42" s="1"/>
      <c r="Z42" s="1" t="e">
        <f t="shared" si="21"/>
        <v>#DIV/0!</v>
      </c>
      <c r="AB42" s="1" t="s">
        <v>80</v>
      </c>
      <c r="AC42" s="1" t="e">
        <f>POWER(AC28,2)</f>
        <v>#VALUE!</v>
      </c>
      <c r="AD42" s="1"/>
      <c r="AE42" s="1" t="s">
        <v>139</v>
      </c>
      <c r="AF42" s="1" t="e">
        <f>-0.0941070768686158+(0.139626153371958*AC43)+(0.114878177940807*AC39)+(0.406495241079475*AC16)+(-0.369001239380415*AC23)+(0.262304099047311*AC40)+(-0.0637244672275599*AC35)</f>
        <v>#VALUE!</v>
      </c>
      <c r="AG42" s="1"/>
      <c r="AH42" s="1" t="s">
        <v>101</v>
      </c>
      <c r="AI42" s="1">
        <f>IF(X22=0,1,AI37-AI41-AI40-AI39-AI38)</f>
        <v>1</v>
      </c>
    </row>
    <row r="43" spans="2:44" ht="15" customHeight="1" x14ac:dyDescent="0.2">
      <c r="B43" s="39" t="s">
        <v>191</v>
      </c>
      <c r="C43" s="41">
        <v>0</v>
      </c>
      <c r="D43" s="41">
        <v>0</v>
      </c>
      <c r="E43" s="40" t="str">
        <f t="shared" si="22"/>
        <v/>
      </c>
      <c r="F43" s="5">
        <v>1</v>
      </c>
      <c r="H43" s="1">
        <v>1</v>
      </c>
      <c r="J43" s="1">
        <f t="shared" si="26"/>
        <v>0</v>
      </c>
      <c r="K43" s="1">
        <f t="shared" si="27"/>
        <v>0</v>
      </c>
      <c r="L43" s="1">
        <f t="shared" si="28"/>
        <v>0</v>
      </c>
      <c r="M43" s="1">
        <f t="shared" si="29"/>
        <v>0</v>
      </c>
      <c r="N43" s="1">
        <f t="shared" si="24"/>
        <v>0</v>
      </c>
      <c r="O43" s="1">
        <f t="shared" si="25"/>
        <v>0</v>
      </c>
      <c r="P43" s="1">
        <f>IF(R43&gt;0,1,0)</f>
        <v>0</v>
      </c>
      <c r="Q43" s="1">
        <f>IF(D43&gt;0,1,0)</f>
        <v>0</v>
      </c>
      <c r="R43" s="1">
        <f t="shared" si="30"/>
        <v>0</v>
      </c>
      <c r="X43" s="1"/>
      <c r="Y43" s="1"/>
      <c r="Z43" s="1" t="e">
        <f t="shared" si="21"/>
        <v>#DIV/0!</v>
      </c>
      <c r="AB43" s="1" t="s">
        <v>81</v>
      </c>
      <c r="AC43" s="1">
        <f>POWER(AC30,2)</f>
        <v>0</v>
      </c>
      <c r="AD43" s="1"/>
      <c r="AE43" s="1" t="s">
        <v>140</v>
      </c>
      <c r="AF43" s="1" t="e">
        <f>AC7-AF42</f>
        <v>#VALUE!</v>
      </c>
      <c r="AG43" s="1"/>
      <c r="AH43" s="1" t="s">
        <v>241</v>
      </c>
      <c r="AI43" s="1">
        <f>SUM(AI38:AI42)</f>
        <v>1</v>
      </c>
    </row>
    <row r="44" spans="2:44" ht="15" customHeight="1" x14ac:dyDescent="0.2">
      <c r="B44" s="39" t="s">
        <v>192</v>
      </c>
      <c r="C44" s="41">
        <v>0</v>
      </c>
      <c r="D44" s="41">
        <v>0</v>
      </c>
      <c r="E44" s="40" t="str">
        <f t="shared" si="22"/>
        <v/>
      </c>
      <c r="F44" s="5"/>
      <c r="J44" s="1">
        <f t="shared" si="26"/>
        <v>0</v>
      </c>
      <c r="K44" s="1">
        <f t="shared" si="27"/>
        <v>0</v>
      </c>
      <c r="L44" s="1">
        <f t="shared" si="28"/>
        <v>0</v>
      </c>
      <c r="M44" s="1">
        <f t="shared" si="29"/>
        <v>0</v>
      </c>
      <c r="N44" s="1">
        <f t="shared" si="24"/>
        <v>0</v>
      </c>
      <c r="O44" s="1">
        <f t="shared" si="25"/>
        <v>0</v>
      </c>
      <c r="P44" s="1"/>
      <c r="Q44" s="1"/>
      <c r="R44" s="1">
        <f t="shared" si="30"/>
        <v>0</v>
      </c>
      <c r="X44" s="1"/>
      <c r="Y44" s="1"/>
      <c r="Z44" s="1" t="e">
        <f t="shared" si="21"/>
        <v>#DIV/0!</v>
      </c>
      <c r="AB44" s="1" t="s">
        <v>82</v>
      </c>
      <c r="AC44" s="1" t="e">
        <f>POWER(AC33,2)</f>
        <v>#VALUE!</v>
      </c>
      <c r="AD44" s="1"/>
      <c r="AE44" s="1" t="s">
        <v>141</v>
      </c>
      <c r="AF44" s="1" t="e">
        <f>AF43/0.15184125998119</f>
        <v>#VALUE!</v>
      </c>
      <c r="AG44" s="1"/>
      <c r="AH44" s="1" t="s">
        <v>242</v>
      </c>
      <c r="AI44" s="1">
        <f>SUM(AI38:AI39)</f>
        <v>0</v>
      </c>
    </row>
    <row r="45" spans="2:44" ht="15" customHeight="1" x14ac:dyDescent="0.2">
      <c r="B45" s="39" t="s">
        <v>193</v>
      </c>
      <c r="C45" s="41">
        <v>0</v>
      </c>
      <c r="D45" s="41">
        <v>0</v>
      </c>
      <c r="E45" s="40" t="str">
        <f t="shared" si="22"/>
        <v/>
      </c>
      <c r="F45" s="5"/>
      <c r="J45" s="1">
        <f t="shared" si="26"/>
        <v>0</v>
      </c>
      <c r="K45" s="1">
        <f t="shared" si="27"/>
        <v>0</v>
      </c>
      <c r="L45" s="1">
        <f t="shared" si="28"/>
        <v>0</v>
      </c>
      <c r="M45" s="1">
        <f t="shared" si="29"/>
        <v>0</v>
      </c>
      <c r="N45" s="1">
        <f t="shared" si="24"/>
        <v>0</v>
      </c>
      <c r="O45" s="1">
        <f t="shared" si="25"/>
        <v>0</v>
      </c>
      <c r="P45" s="1"/>
      <c r="Q45" s="1"/>
      <c r="R45" s="1">
        <f t="shared" si="30"/>
        <v>0</v>
      </c>
      <c r="X45" s="1"/>
      <c r="Y45" s="1"/>
      <c r="Z45" s="1" t="e">
        <f t="shared" si="21"/>
        <v>#DIV/0!</v>
      </c>
      <c r="AB45" s="1" t="s">
        <v>83</v>
      </c>
      <c r="AC45" s="1" t="e">
        <f>POWER(AC35,2)</f>
        <v>#VALUE!</v>
      </c>
      <c r="AD45" s="1"/>
      <c r="AE45" s="1" t="s">
        <v>142</v>
      </c>
      <c r="AF45" s="1" t="e">
        <f>IF(AC13=1,AF11,IF(AC13=2,AF14,AF17))</f>
        <v>#VALUE!</v>
      </c>
      <c r="AG45" s="1"/>
      <c r="AH45" s="1" t="s">
        <v>243</v>
      </c>
      <c r="AI45" s="1">
        <f>SUM(AI40:AI42)</f>
        <v>1</v>
      </c>
    </row>
    <row r="46" spans="2:44" ht="15" customHeight="1" x14ac:dyDescent="0.2">
      <c r="B46" s="39" t="s">
        <v>22</v>
      </c>
      <c r="C46" s="41">
        <v>0</v>
      </c>
      <c r="D46" s="41">
        <v>0</v>
      </c>
      <c r="E46" s="40" t="str">
        <f t="shared" si="22"/>
        <v/>
      </c>
      <c r="F46" s="5"/>
      <c r="J46" s="1">
        <f t="shared" ref="J46:J53" si="31">R46*F46</f>
        <v>0</v>
      </c>
      <c r="K46" s="1">
        <f t="shared" ref="K46:K53" si="32">R46*G46</f>
        <v>0</v>
      </c>
      <c r="L46" s="1">
        <f t="shared" ref="L46:L53" si="33">R46*I46</f>
        <v>0</v>
      </c>
      <c r="M46" s="1">
        <f t="shared" ref="M46:M53" si="34">R46*H46</f>
        <v>0</v>
      </c>
      <c r="N46" s="1">
        <f t="shared" si="24"/>
        <v>0</v>
      </c>
      <c r="O46" s="1">
        <f t="shared" si="25"/>
        <v>0</v>
      </c>
      <c r="P46" s="1"/>
      <c r="Q46" s="1"/>
      <c r="R46" s="1">
        <f t="shared" ref="R46:R53" si="35">N46+O46</f>
        <v>0</v>
      </c>
      <c r="X46" s="1"/>
      <c r="Y46" s="1"/>
      <c r="Z46" s="1" t="e">
        <f t="shared" si="21"/>
        <v>#DIV/0!</v>
      </c>
      <c r="AB46" s="1" t="s">
        <v>84</v>
      </c>
      <c r="AC46" s="1" t="e">
        <f>POWER(AC37,2)</f>
        <v>#VALUE!</v>
      </c>
      <c r="AD46" s="1"/>
      <c r="AE46" s="1" t="s">
        <v>143</v>
      </c>
      <c r="AF46" s="1" t="e">
        <f>IF(AC13=1,AF23,AF20)</f>
        <v>#VALUE!</v>
      </c>
      <c r="AG46" s="1"/>
      <c r="AH46" s="1" t="s">
        <v>244</v>
      </c>
      <c r="AI46" s="1">
        <f>ABS(AI39-AI40)</f>
        <v>0</v>
      </c>
    </row>
    <row r="47" spans="2:44" ht="15" customHeight="1" x14ac:dyDescent="0.2">
      <c r="B47" s="39" t="s">
        <v>19</v>
      </c>
      <c r="C47" s="41">
        <v>0</v>
      </c>
      <c r="D47" s="41">
        <v>0</v>
      </c>
      <c r="E47" s="40" t="str">
        <f t="shared" si="22"/>
        <v/>
      </c>
      <c r="F47" s="5"/>
      <c r="H47" s="1">
        <v>1</v>
      </c>
      <c r="J47" s="1">
        <f t="shared" si="31"/>
        <v>0</v>
      </c>
      <c r="K47" s="1">
        <f t="shared" si="32"/>
        <v>0</v>
      </c>
      <c r="L47" s="1">
        <f t="shared" si="33"/>
        <v>0</v>
      </c>
      <c r="M47" s="1">
        <f t="shared" si="34"/>
        <v>0</v>
      </c>
      <c r="N47" s="1">
        <f t="shared" si="24"/>
        <v>0</v>
      </c>
      <c r="O47" s="1">
        <f t="shared" si="25"/>
        <v>0</v>
      </c>
      <c r="P47" s="1"/>
      <c r="Q47" s="1"/>
      <c r="R47" s="1">
        <f t="shared" si="35"/>
        <v>0</v>
      </c>
      <c r="X47" s="1"/>
      <c r="Y47" s="1"/>
      <c r="Z47" s="1" t="e">
        <f t="shared" si="21"/>
        <v>#DIV/0!</v>
      </c>
      <c r="AB47" s="1"/>
      <c r="AC47" s="1"/>
      <c r="AD47" s="1"/>
      <c r="AE47" s="1" t="s">
        <v>96</v>
      </c>
      <c r="AF47" s="1" t="str">
        <f>IF(AL12="","",0.1318231353392+(0.0951366515806*AC19)+(-0.003852746994631*AC41)+(-0.03476971457617*AC23)+(-0.04000931284196*AC37)+(0.09875477960582*AC16))</f>
        <v/>
      </c>
      <c r="AG47" s="1"/>
      <c r="AH47" s="1"/>
      <c r="AI47" s="1"/>
    </row>
    <row r="48" spans="2:44" ht="15" customHeight="1" x14ac:dyDescent="0.2">
      <c r="B48" s="39" t="s">
        <v>194</v>
      </c>
      <c r="C48" s="41">
        <v>0</v>
      </c>
      <c r="D48" s="41">
        <v>0</v>
      </c>
      <c r="E48" s="40" t="str">
        <f t="shared" si="22"/>
        <v/>
      </c>
      <c r="F48" s="5">
        <v>1</v>
      </c>
      <c r="H48" s="1">
        <v>1</v>
      </c>
      <c r="J48" s="1">
        <f t="shared" si="31"/>
        <v>0</v>
      </c>
      <c r="K48" s="1">
        <f t="shared" si="32"/>
        <v>0</v>
      </c>
      <c r="L48" s="1">
        <f t="shared" si="33"/>
        <v>0</v>
      </c>
      <c r="M48" s="1">
        <f t="shared" si="34"/>
        <v>0</v>
      </c>
      <c r="N48" s="1">
        <f t="shared" si="24"/>
        <v>0</v>
      </c>
      <c r="O48" s="1">
        <f t="shared" si="25"/>
        <v>0</v>
      </c>
      <c r="P48" s="1"/>
      <c r="Q48" s="1"/>
      <c r="R48" s="1">
        <f t="shared" si="35"/>
        <v>0</v>
      </c>
      <c r="X48" s="1"/>
      <c r="Y48" s="1"/>
      <c r="Z48" s="1" t="e">
        <f t="shared" si="21"/>
        <v>#DIV/0!</v>
      </c>
      <c r="AB48" s="1"/>
      <c r="AC48" s="1"/>
      <c r="AD48" s="1"/>
      <c r="AE48" s="1"/>
      <c r="AF48" s="1"/>
      <c r="AG48" s="1"/>
      <c r="AH48" s="1"/>
      <c r="AI48" s="1"/>
    </row>
    <row r="49" spans="2:35" ht="15" customHeight="1" x14ac:dyDescent="0.2">
      <c r="B49" s="39" t="s">
        <v>195</v>
      </c>
      <c r="C49" s="41">
        <v>0</v>
      </c>
      <c r="D49" s="41">
        <v>0</v>
      </c>
      <c r="E49" s="40" t="str">
        <f t="shared" si="22"/>
        <v/>
      </c>
      <c r="F49" s="5"/>
      <c r="H49" s="1">
        <v>1</v>
      </c>
      <c r="J49" s="1">
        <f t="shared" si="31"/>
        <v>0</v>
      </c>
      <c r="K49" s="1">
        <f t="shared" si="32"/>
        <v>0</v>
      </c>
      <c r="L49" s="1">
        <f t="shared" si="33"/>
        <v>0</v>
      </c>
      <c r="M49" s="1">
        <f t="shared" si="34"/>
        <v>0</v>
      </c>
      <c r="N49" s="1">
        <f t="shared" si="24"/>
        <v>0</v>
      </c>
      <c r="O49" s="1">
        <f t="shared" si="25"/>
        <v>0</v>
      </c>
      <c r="P49" s="1"/>
      <c r="Q49" s="1"/>
      <c r="R49" s="1">
        <f t="shared" si="35"/>
        <v>0</v>
      </c>
      <c r="X49" s="1"/>
      <c r="Y49" s="1"/>
      <c r="Z49" s="1" t="e">
        <f t="shared" si="21"/>
        <v>#DIV/0!</v>
      </c>
      <c r="AB49" s="1"/>
      <c r="AC49" s="1"/>
      <c r="AD49" s="1"/>
      <c r="AE49" s="1"/>
      <c r="AF49" s="1"/>
      <c r="AG49" s="1"/>
      <c r="AH49" s="1"/>
      <c r="AI49" s="1"/>
    </row>
    <row r="50" spans="2:35" ht="15" customHeight="1" x14ac:dyDescent="0.2">
      <c r="B50" s="39" t="s">
        <v>196</v>
      </c>
      <c r="C50" s="41">
        <v>0</v>
      </c>
      <c r="D50" s="41">
        <v>0</v>
      </c>
      <c r="E50" s="40" t="str">
        <f t="shared" si="22"/>
        <v/>
      </c>
      <c r="F50" s="5"/>
      <c r="J50" s="1">
        <f t="shared" si="31"/>
        <v>0</v>
      </c>
      <c r="K50" s="1">
        <f t="shared" si="32"/>
        <v>0</v>
      </c>
      <c r="L50" s="1">
        <f t="shared" si="33"/>
        <v>0</v>
      </c>
      <c r="M50" s="1">
        <f t="shared" si="34"/>
        <v>0</v>
      </c>
      <c r="N50" s="1">
        <f t="shared" si="24"/>
        <v>0</v>
      </c>
      <c r="O50" s="1">
        <f t="shared" si="25"/>
        <v>0</v>
      </c>
      <c r="P50" s="1"/>
      <c r="Q50" s="1"/>
      <c r="R50" s="1">
        <f t="shared" si="35"/>
        <v>0</v>
      </c>
      <c r="X50" s="1"/>
      <c r="Y50" s="1"/>
      <c r="Z50" s="1" t="e">
        <f t="shared" si="21"/>
        <v>#DIV/0!</v>
      </c>
      <c r="AB50" s="1"/>
      <c r="AC50" s="1"/>
      <c r="AD50" s="1"/>
      <c r="AE50" s="1"/>
      <c r="AF50" s="1"/>
      <c r="AG50" s="1"/>
      <c r="AH50" s="1"/>
      <c r="AI50" s="1"/>
    </row>
    <row r="51" spans="2:35" ht="15" customHeight="1" x14ac:dyDescent="0.2">
      <c r="B51" s="39" t="s">
        <v>197</v>
      </c>
      <c r="C51" s="41">
        <v>0</v>
      </c>
      <c r="D51" s="41">
        <v>0</v>
      </c>
      <c r="E51" s="40" t="str">
        <f t="shared" si="22"/>
        <v/>
      </c>
      <c r="F51" s="5"/>
      <c r="G51" s="1">
        <v>1</v>
      </c>
      <c r="J51" s="1">
        <f t="shared" si="31"/>
        <v>0</v>
      </c>
      <c r="K51" s="1">
        <f t="shared" si="32"/>
        <v>0</v>
      </c>
      <c r="L51" s="1">
        <f t="shared" si="33"/>
        <v>0</v>
      </c>
      <c r="M51" s="1">
        <f t="shared" si="34"/>
        <v>0</v>
      </c>
      <c r="N51" s="1">
        <f t="shared" si="24"/>
        <v>0</v>
      </c>
      <c r="O51" s="1">
        <f t="shared" si="25"/>
        <v>0</v>
      </c>
      <c r="P51" s="1"/>
      <c r="Q51" s="1"/>
      <c r="R51" s="1">
        <f t="shared" si="35"/>
        <v>0</v>
      </c>
      <c r="X51" s="1"/>
      <c r="Y51" s="1"/>
      <c r="Z51" s="1" t="e">
        <f t="shared" si="21"/>
        <v>#DIV/0!</v>
      </c>
      <c r="AB51" s="1"/>
      <c r="AC51" s="1"/>
      <c r="AD51" s="1"/>
      <c r="AE51" s="1"/>
      <c r="AF51" s="1"/>
      <c r="AG51" s="1"/>
      <c r="AH51" s="1"/>
      <c r="AI51" s="1"/>
    </row>
    <row r="52" spans="2:35" ht="15" customHeight="1" x14ac:dyDescent="0.2">
      <c r="B52" s="39" t="s">
        <v>198</v>
      </c>
      <c r="C52" s="41">
        <v>0</v>
      </c>
      <c r="D52" s="41">
        <v>0</v>
      </c>
      <c r="E52" s="40" t="str">
        <f t="shared" si="22"/>
        <v/>
      </c>
      <c r="F52" s="5"/>
      <c r="G52" s="1">
        <v>1</v>
      </c>
      <c r="J52" s="1">
        <f t="shared" si="31"/>
        <v>0</v>
      </c>
      <c r="K52" s="1">
        <f t="shared" si="32"/>
        <v>0</v>
      </c>
      <c r="L52" s="1">
        <f t="shared" si="33"/>
        <v>0</v>
      </c>
      <c r="M52" s="1">
        <f t="shared" si="34"/>
        <v>0</v>
      </c>
      <c r="N52" s="1">
        <f t="shared" si="24"/>
        <v>0</v>
      </c>
      <c r="O52" s="1">
        <f t="shared" si="25"/>
        <v>0</v>
      </c>
      <c r="P52" s="1"/>
      <c r="Q52" s="1"/>
      <c r="R52" s="1">
        <f t="shared" si="35"/>
        <v>0</v>
      </c>
      <c r="X52" s="1"/>
      <c r="Y52" s="1"/>
      <c r="Z52" s="1" t="e">
        <f t="shared" si="21"/>
        <v>#DIV/0!</v>
      </c>
      <c r="AB52" s="1"/>
      <c r="AC52" s="1"/>
      <c r="AD52" s="1"/>
      <c r="AE52" s="1"/>
      <c r="AF52" s="1"/>
      <c r="AG52" s="1"/>
      <c r="AH52" s="1"/>
      <c r="AI52" s="1"/>
    </row>
    <row r="53" spans="2:35" ht="15" customHeight="1" x14ac:dyDescent="0.2">
      <c r="B53" s="39" t="s">
        <v>199</v>
      </c>
      <c r="C53" s="41">
        <v>0</v>
      </c>
      <c r="D53" s="41">
        <v>0</v>
      </c>
      <c r="E53" s="40" t="str">
        <f t="shared" si="22"/>
        <v/>
      </c>
      <c r="F53" s="5"/>
      <c r="G53" s="1">
        <v>1</v>
      </c>
      <c r="J53" s="1">
        <f t="shared" si="31"/>
        <v>0</v>
      </c>
      <c r="K53" s="1">
        <f t="shared" si="32"/>
        <v>0</v>
      </c>
      <c r="L53" s="1">
        <f t="shared" si="33"/>
        <v>0</v>
      </c>
      <c r="M53" s="1">
        <f t="shared" si="34"/>
        <v>0</v>
      </c>
      <c r="N53" s="1">
        <f t="shared" si="24"/>
        <v>0</v>
      </c>
      <c r="O53" s="1">
        <f t="shared" si="25"/>
        <v>0</v>
      </c>
      <c r="P53" s="1"/>
      <c r="Q53" s="1"/>
      <c r="R53" s="1">
        <f t="shared" si="35"/>
        <v>0</v>
      </c>
      <c r="X53" s="1"/>
      <c r="Y53" s="1"/>
      <c r="Z53" s="1" t="e">
        <f>POWER(R55/$X$8,2)</f>
        <v>#DIV/0!</v>
      </c>
      <c r="AB53" s="1"/>
      <c r="AC53" s="1"/>
      <c r="AD53" s="1"/>
      <c r="AE53" s="1"/>
      <c r="AF53" s="1"/>
      <c r="AG53" s="1"/>
      <c r="AH53" s="1"/>
      <c r="AI53" s="1"/>
    </row>
    <row r="54" spans="2:35" ht="15" customHeight="1" x14ac:dyDescent="0.2">
      <c r="B54" s="5" t="s">
        <v>439</v>
      </c>
      <c r="C54" s="41">
        <v>0</v>
      </c>
      <c r="D54" s="41">
        <v>0</v>
      </c>
      <c r="J54" s="1">
        <f t="shared" ref="J54:J58" si="36">R54*F54</f>
        <v>0</v>
      </c>
      <c r="K54" s="1">
        <f t="shared" ref="K54:K58" si="37">R54*G54</f>
        <v>0</v>
      </c>
      <c r="L54" s="1">
        <f t="shared" ref="L54:L58" si="38">R54*I54</f>
        <v>0</v>
      </c>
      <c r="M54" s="1">
        <f t="shared" ref="M54:M58" si="39">R54*H54</f>
        <v>0</v>
      </c>
      <c r="N54" s="1">
        <f t="shared" ref="N54:N58" si="40">IF(C54&lt;0,0,IF(C54="",0,C54))</f>
        <v>0</v>
      </c>
      <c r="O54" s="1">
        <f t="shared" ref="O54:O58" si="41">IF(D54&lt;0,0,IF(D54="",0,D54))</f>
        <v>0</v>
      </c>
      <c r="P54" s="1"/>
      <c r="Q54" s="1"/>
      <c r="R54" s="1">
        <f t="shared" ref="R54:R58" si="42">N54+O54</f>
        <v>0</v>
      </c>
      <c r="X54" s="1"/>
      <c r="Y54" s="1"/>
      <c r="Z54" s="1" t="e">
        <f>POWER(R56/$X$8,2)</f>
        <v>#DIV/0!</v>
      </c>
      <c r="AB54" s="1"/>
      <c r="AC54" s="1"/>
      <c r="AD54" s="1"/>
      <c r="AE54" s="1"/>
      <c r="AF54" s="1"/>
      <c r="AG54" s="1"/>
      <c r="AH54" s="1"/>
      <c r="AI54" s="1"/>
    </row>
    <row r="55" spans="2:35" ht="15" customHeight="1" x14ac:dyDescent="0.2">
      <c r="B55" s="39" t="s">
        <v>18</v>
      </c>
      <c r="C55" s="41">
        <v>0</v>
      </c>
      <c r="D55" s="41">
        <v>0</v>
      </c>
      <c r="E55" s="40" t="str">
        <f>IF(OR(C55&lt;0,D55&lt;0,C55="",D55=""),"Ska vara 0 eller positiva tal.","")</f>
        <v/>
      </c>
      <c r="F55" s="5"/>
      <c r="H55" s="1">
        <v>1</v>
      </c>
      <c r="J55" s="1">
        <f t="shared" si="36"/>
        <v>0</v>
      </c>
      <c r="K55" s="1">
        <f t="shared" si="37"/>
        <v>0</v>
      </c>
      <c r="L55" s="1">
        <f t="shared" si="38"/>
        <v>0</v>
      </c>
      <c r="M55" s="1">
        <f t="shared" si="39"/>
        <v>0</v>
      </c>
      <c r="N55" s="1">
        <f t="shared" si="40"/>
        <v>0</v>
      </c>
      <c r="O55" s="1">
        <f t="shared" si="41"/>
        <v>0</v>
      </c>
      <c r="P55" s="1"/>
      <c r="Q55" s="1"/>
      <c r="R55" s="1">
        <f t="shared" si="42"/>
        <v>0</v>
      </c>
      <c r="X55" s="1"/>
      <c r="Y55" s="1"/>
      <c r="Z55" s="1" t="e">
        <f>POWER(R58/$X$8,2)</f>
        <v>#DIV/0!</v>
      </c>
      <c r="AB55" s="1"/>
      <c r="AC55" s="1"/>
      <c r="AD55" s="1"/>
      <c r="AE55" s="1"/>
      <c r="AF55" s="1"/>
      <c r="AG55" s="1"/>
      <c r="AH55" s="1"/>
      <c r="AI55" s="1"/>
    </row>
    <row r="56" spans="2:35" ht="15" customHeight="1" x14ac:dyDescent="0.2">
      <c r="B56" s="39" t="s">
        <v>200</v>
      </c>
      <c r="C56" s="41">
        <v>0</v>
      </c>
      <c r="D56" s="41">
        <v>0</v>
      </c>
      <c r="E56" s="40" t="str">
        <f>IF(OR(C56&lt;0,D56&lt;0,C56="",D56=""),"Ska vara 0 eller positiva tal.","")</f>
        <v/>
      </c>
      <c r="F56" s="5"/>
      <c r="G56" s="1">
        <v>1</v>
      </c>
      <c r="J56" s="1">
        <f t="shared" si="36"/>
        <v>0</v>
      </c>
      <c r="K56" s="1">
        <f t="shared" si="37"/>
        <v>0</v>
      </c>
      <c r="L56" s="1">
        <f t="shared" si="38"/>
        <v>0</v>
      </c>
      <c r="M56" s="1">
        <f t="shared" si="39"/>
        <v>0</v>
      </c>
      <c r="N56" s="1">
        <f t="shared" si="40"/>
        <v>0</v>
      </c>
      <c r="O56" s="1">
        <f t="shared" si="41"/>
        <v>0</v>
      </c>
      <c r="P56" s="1"/>
      <c r="Q56" s="1"/>
      <c r="R56" s="1">
        <f t="shared" si="42"/>
        <v>0</v>
      </c>
      <c r="X56" s="1"/>
      <c r="Y56" s="1"/>
      <c r="Z56" s="1" t="e">
        <f>POWER(R59/$X$8,2)</f>
        <v>#DIV/0!</v>
      </c>
      <c r="AB56" s="1"/>
      <c r="AC56" s="1"/>
      <c r="AD56" s="1"/>
      <c r="AE56" s="1"/>
      <c r="AF56" s="1"/>
      <c r="AG56" s="1"/>
      <c r="AH56" s="1"/>
      <c r="AI56" s="1"/>
    </row>
    <row r="57" spans="2:35" x14ac:dyDescent="0.2">
      <c r="B57" s="5" t="s">
        <v>440</v>
      </c>
      <c r="C57" s="41">
        <v>0</v>
      </c>
      <c r="D57" s="41">
        <v>0</v>
      </c>
      <c r="J57" s="1">
        <f t="shared" si="36"/>
        <v>0</v>
      </c>
      <c r="K57" s="1">
        <f t="shared" si="37"/>
        <v>0</v>
      </c>
      <c r="L57" s="1">
        <f t="shared" si="38"/>
        <v>0</v>
      </c>
      <c r="M57" s="1">
        <f t="shared" si="39"/>
        <v>0</v>
      </c>
      <c r="N57" s="1">
        <f t="shared" si="40"/>
        <v>0</v>
      </c>
      <c r="O57" s="1">
        <f t="shared" si="41"/>
        <v>0</v>
      </c>
      <c r="P57" s="1"/>
      <c r="Q57" s="1"/>
      <c r="R57" s="1">
        <f t="shared" si="42"/>
        <v>0</v>
      </c>
      <c r="X57" s="1"/>
      <c r="Y57" s="1" t="s">
        <v>41</v>
      </c>
      <c r="Z57" s="1" t="e">
        <f>SUM(Z7:Z56)</f>
        <v>#DIV/0!</v>
      </c>
      <c r="AB57" s="1"/>
      <c r="AC57" s="1"/>
      <c r="AD57" s="1"/>
      <c r="AE57" s="1"/>
      <c r="AF57" s="1"/>
      <c r="AG57" s="1"/>
      <c r="AH57" s="1"/>
      <c r="AI57" s="1"/>
    </row>
    <row r="58" spans="2:35" x14ac:dyDescent="0.2">
      <c r="B58" s="39" t="s">
        <v>23</v>
      </c>
      <c r="C58" s="41">
        <v>0</v>
      </c>
      <c r="D58" s="41">
        <v>0</v>
      </c>
      <c r="E58" s="40" t="str">
        <f>IF(OR(C58&lt;0,D58&lt;0,C58="",D58=""),"Ska vara 0 eller positiva tal.","")</f>
        <v/>
      </c>
      <c r="F58" s="5"/>
      <c r="H58" s="1">
        <v>1</v>
      </c>
      <c r="J58" s="1">
        <f t="shared" si="36"/>
        <v>0</v>
      </c>
      <c r="K58" s="1">
        <f t="shared" si="37"/>
        <v>0</v>
      </c>
      <c r="L58" s="1">
        <f t="shared" si="38"/>
        <v>0</v>
      </c>
      <c r="M58" s="1">
        <f t="shared" si="39"/>
        <v>0</v>
      </c>
      <c r="N58" s="1">
        <f t="shared" si="40"/>
        <v>0</v>
      </c>
      <c r="O58" s="1">
        <f t="shared" si="41"/>
        <v>0</v>
      </c>
      <c r="P58" s="1"/>
      <c r="Q58" s="1"/>
      <c r="R58" s="1">
        <f t="shared" si="42"/>
        <v>0</v>
      </c>
    </row>
    <row r="59" spans="2:35" x14ac:dyDescent="0.2">
      <c r="B59" s="39" t="s">
        <v>12</v>
      </c>
      <c r="C59" s="41">
        <v>0</v>
      </c>
      <c r="D59" s="41">
        <v>0</v>
      </c>
      <c r="E59" s="40" t="str">
        <f>IF(OR(C59&lt;0,D59&lt;0,C59="",D59=""),"Ska vara 0 eller positiva tal.","")</f>
        <v/>
      </c>
      <c r="F59" s="5"/>
      <c r="G59" s="1">
        <v>1</v>
      </c>
      <c r="H59" s="5"/>
      <c r="J59" s="1">
        <f>R59*F59</f>
        <v>0</v>
      </c>
      <c r="K59" s="1">
        <f>R59*G59</f>
        <v>0</v>
      </c>
      <c r="L59" s="1">
        <f>R59*I59</f>
        <v>0</v>
      </c>
      <c r="M59" s="1">
        <f>R59*H59</f>
        <v>0</v>
      </c>
      <c r="N59" s="1">
        <f>IF(C59&lt;0,0,IF(C59="",0,C59))</f>
        <v>0</v>
      </c>
      <c r="O59" s="1">
        <f>IF(D59&lt;0,0,IF(D59="",0,D59))</f>
        <v>0</v>
      </c>
      <c r="P59" s="1"/>
      <c r="Q59" s="1"/>
      <c r="R59" s="1">
        <f>N59+O59</f>
        <v>0</v>
      </c>
    </row>
    <row r="60" spans="2:35" x14ac:dyDescent="0.2">
      <c r="C60" s="5"/>
      <c r="D60" s="5"/>
      <c r="E60" s="5"/>
      <c r="N60" s="1"/>
      <c r="O60" s="1"/>
      <c r="P60" s="1">
        <f>SUM(P7,P11,P27,P43)</f>
        <v>0</v>
      </c>
      <c r="Q60" s="1">
        <f>SUM(Q7,Q11,Q27,Q43)</f>
        <v>0</v>
      </c>
      <c r="R60" s="1"/>
    </row>
    <row r="61" spans="2:35" ht="15" hidden="1" x14ac:dyDescent="0.25">
      <c r="B61" s="1" t="s">
        <v>28</v>
      </c>
      <c r="C61" s="1">
        <f>IF(X6="Ström",C7,IF(X6="",C7,0))</f>
        <v>0</v>
      </c>
      <c r="D61" s="1">
        <f>IF(X6="Ström",D7,IF(X6="",D7,0))</f>
        <v>0</v>
      </c>
      <c r="F61" s="1">
        <v>1</v>
      </c>
      <c r="G61" s="2"/>
      <c r="H61" s="1">
        <v>1</v>
      </c>
      <c r="I61" s="1">
        <v>1</v>
      </c>
      <c r="J61" s="1">
        <f>R61*F61</f>
        <v>0</v>
      </c>
      <c r="K61" s="1">
        <f>R61*G61</f>
        <v>0</v>
      </c>
      <c r="L61" s="1">
        <f>R61*I61</f>
        <v>0</v>
      </c>
      <c r="M61" s="1">
        <f>R61*H61</f>
        <v>0</v>
      </c>
      <c r="N61" s="1">
        <f t="shared" ref="N61:O63" si="43">IF(C61&lt;0,0,C61)</f>
        <v>0</v>
      </c>
      <c r="O61" s="1">
        <f t="shared" si="43"/>
        <v>0</v>
      </c>
      <c r="P61" s="1"/>
      <c r="Q61" s="1"/>
      <c r="R61" s="1">
        <f>N61+O61</f>
        <v>0</v>
      </c>
    </row>
    <row r="62" spans="2:35" ht="15" hidden="1" x14ac:dyDescent="0.25">
      <c r="B62" s="1" t="s">
        <v>29</v>
      </c>
      <c r="C62" s="1">
        <f>IF(X6="Insjö",C7,0)</f>
        <v>0</v>
      </c>
      <c r="D62" s="1">
        <f>IF(X6="Insjö",D7,0)</f>
        <v>0</v>
      </c>
      <c r="F62" s="1">
        <v>1</v>
      </c>
      <c r="G62" s="2"/>
      <c r="H62" s="1">
        <v>1</v>
      </c>
      <c r="I62" s="1">
        <v>1</v>
      </c>
      <c r="J62" s="1">
        <f>R62*F62</f>
        <v>0</v>
      </c>
      <c r="K62" s="1">
        <f>R62*G62</f>
        <v>0</v>
      </c>
      <c r="L62" s="1">
        <f>R62*I62</f>
        <v>0</v>
      </c>
      <c r="M62" s="1">
        <f>R62*H62</f>
        <v>0</v>
      </c>
      <c r="N62" s="1">
        <f t="shared" si="43"/>
        <v>0</v>
      </c>
      <c r="O62" s="1">
        <f t="shared" si="43"/>
        <v>0</v>
      </c>
      <c r="P62" s="1"/>
      <c r="Q62" s="1"/>
      <c r="R62" s="1">
        <f t="shared" ref="R62:R63" si="44">N62+O62</f>
        <v>0</v>
      </c>
    </row>
    <row r="63" spans="2:35" ht="15" hidden="1" x14ac:dyDescent="0.25">
      <c r="B63" s="1" t="s">
        <v>30</v>
      </c>
      <c r="C63" s="1">
        <f>IF(X6="Hav",C7,0)</f>
        <v>0</v>
      </c>
      <c r="D63" s="1">
        <f>IF(X6="Hav",D7,0)</f>
        <v>0</v>
      </c>
      <c r="F63" s="1">
        <v>1</v>
      </c>
      <c r="G63" s="2"/>
      <c r="H63" s="1">
        <v>1</v>
      </c>
      <c r="I63" s="1">
        <v>1</v>
      </c>
      <c r="J63" s="1">
        <f>R63*F63</f>
        <v>0</v>
      </c>
      <c r="K63" s="1">
        <f>R63*G63</f>
        <v>0</v>
      </c>
      <c r="L63" s="1">
        <f>R63*I63</f>
        <v>0</v>
      </c>
      <c r="M63" s="1">
        <f>R63*H63</f>
        <v>0</v>
      </c>
      <c r="N63" s="1">
        <f t="shared" si="43"/>
        <v>0</v>
      </c>
      <c r="O63" s="1">
        <f t="shared" si="43"/>
        <v>0</v>
      </c>
      <c r="P63" s="1"/>
      <c r="Q63" s="1"/>
      <c r="R63" s="1">
        <f t="shared" si="44"/>
        <v>0</v>
      </c>
    </row>
  </sheetData>
  <sheetProtection algorithmName="SHA-512" hashValue="16ZQZP2h2zk8B8DLPrsQJ3IktwOy32b5hTOUHsEYljNdIstN8G1e0GWxgHVHkPAd7YFBd5OpyqQONHhbQWB/dQ==" saltValue="LrpQLrmquuiuy6DWmG61Gg==" spinCount="100000" sheet="1" objects="1" scenarios="1"/>
  <sortState ref="B10:O54">
    <sortCondition ref="B10:B54"/>
  </sortState>
  <conditionalFormatting sqref="E7:E34 E36:E53 E55:E56 E58:E59">
    <cfRule type="containsText" dxfId="11" priority="1" operator="containsText" text="positiva">
      <formula>NOT(ISERROR(SEARCH("positiva",E7)))</formula>
    </cfRule>
    <cfRule type="containsText" priority="2" operator="containsText" text="positiva">
      <formula>NOT(ISERROR(SEARCH("positiva",E7)))</formula>
    </cfRule>
  </conditionalFormatting>
  <pageMargins left="0.7" right="0.7" top="0.75" bottom="0.75" header="0.3" footer="0.3"/>
  <pageSetup paperSize="9" orientation="portrait" r:id="rId1"/>
  <ignoredErrors>
    <ignoredError sqref="AC36 AC34 AC24" formula="1"/>
    <ignoredError sqref="AC35 AC45 AR1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43"/>
  <sheetViews>
    <sheetView showGridLines="0" zoomScaleNormal="100" workbookViewId="0">
      <selection activeCell="F29" sqref="F29"/>
    </sheetView>
  </sheetViews>
  <sheetFormatPr defaultRowHeight="14.25" customHeight="1" x14ac:dyDescent="0.2"/>
  <cols>
    <col min="3" max="3" width="52" customWidth="1"/>
    <col min="4" max="4" width="11" customWidth="1"/>
    <col min="5" max="5" width="16" customWidth="1"/>
    <col min="6" max="6" width="14.75" customWidth="1"/>
  </cols>
  <sheetData>
    <row r="2" spans="3:17" ht="14.25" customHeight="1" x14ac:dyDescent="0.25">
      <c r="C2" s="3" t="s">
        <v>385</v>
      </c>
      <c r="D2" s="50" t="s">
        <v>383</v>
      </c>
      <c r="E2" s="50" t="s">
        <v>384</v>
      </c>
      <c r="F2" s="50" t="s">
        <v>387</v>
      </c>
    </row>
    <row r="3" spans="3:17" ht="14.25" customHeight="1" x14ac:dyDescent="0.2">
      <c r="D3" s="51"/>
      <c r="E3" s="51"/>
      <c r="F3" s="51"/>
    </row>
    <row r="4" spans="3:17" ht="14.25" customHeight="1" x14ac:dyDescent="0.2">
      <c r="C4" t="s">
        <v>403</v>
      </c>
      <c r="D4" s="55">
        <f>Fångster!X22</f>
        <v>0</v>
      </c>
      <c r="E4" s="56"/>
      <c r="F4" s="56"/>
    </row>
    <row r="5" spans="3:17" ht="14.25" customHeight="1" x14ac:dyDescent="0.2">
      <c r="C5" t="s">
        <v>386</v>
      </c>
      <c r="D5" s="57">
        <f>Fångster!X14</f>
        <v>0</v>
      </c>
      <c r="E5" s="57" t="str">
        <f>IFERROR(Fångster!AL20,"")</f>
        <v/>
      </c>
      <c r="F5" s="57" t="str">
        <f>IFERROR(Fångster!AI6,"")</f>
        <v/>
      </c>
    </row>
    <row r="6" spans="3:17" ht="14.25" customHeight="1" x14ac:dyDescent="0.2">
      <c r="C6" t="s">
        <v>388</v>
      </c>
      <c r="D6" s="57">
        <f>Fångster!X30</f>
        <v>0</v>
      </c>
      <c r="E6" s="57" t="str">
        <f>IFERROR(Fångster!AL21,"")</f>
        <v/>
      </c>
      <c r="F6" s="57" t="str">
        <f>IFERROR(Fångster!AI7,"")</f>
        <v/>
      </c>
    </row>
    <row r="7" spans="3:17" ht="14.25" customHeight="1" x14ac:dyDescent="0.2">
      <c r="C7" t="s">
        <v>390</v>
      </c>
      <c r="D7" s="57">
        <f>Fångster!X28</f>
        <v>0</v>
      </c>
      <c r="E7" s="57" t="str">
        <f>IFERROR(Fångster!AL26,"")</f>
        <v/>
      </c>
      <c r="F7" s="57" t="str">
        <f>IFERROR(Fångster!AI8,"")</f>
        <v/>
      </c>
    </row>
    <row r="8" spans="3:17" ht="14.25" customHeight="1" x14ac:dyDescent="0.2">
      <c r="C8" t="s">
        <v>389</v>
      </c>
      <c r="D8" s="57">
        <f>Fångster!X24</f>
        <v>0</v>
      </c>
      <c r="E8" s="57" t="str">
        <f>IFERROR(Fångster!AL27,"")</f>
        <v/>
      </c>
      <c r="F8" s="57" t="str">
        <f>IFERROR(Fångster!AI9,"")</f>
        <v/>
      </c>
    </row>
    <row r="9" spans="3:17" ht="14.25" customHeight="1" x14ac:dyDescent="0.2">
      <c r="C9" t="s">
        <v>391</v>
      </c>
      <c r="D9" s="57">
        <f>Fångster!X26</f>
        <v>0</v>
      </c>
      <c r="E9" s="57" t="str">
        <f>IFERROR(Fångster!AL28,"")</f>
        <v/>
      </c>
      <c r="F9" s="57" t="str">
        <f>IFERROR(Fångster!AI10,"")</f>
        <v/>
      </c>
    </row>
    <row r="10" spans="3:17" ht="14.25" customHeight="1" x14ac:dyDescent="0.2">
      <c r="C10" t="s">
        <v>392</v>
      </c>
      <c r="D10" s="57" t="str">
        <f>IFERROR(Fångster!X34,"")</f>
        <v/>
      </c>
      <c r="E10" s="57" t="str">
        <f>IFERROR(Fångster!AL29,"")</f>
        <v/>
      </c>
      <c r="F10" s="57" t="str">
        <f>IFERROR(Fångster!AI11,"")</f>
        <v/>
      </c>
    </row>
    <row r="11" spans="3:17" ht="14.25" customHeight="1" x14ac:dyDescent="0.2">
      <c r="D11" s="9"/>
      <c r="E11" s="9"/>
      <c r="F11" s="9"/>
    </row>
    <row r="14" spans="3:17" ht="14.25" customHeight="1" x14ac:dyDescent="0.25">
      <c r="C14" s="49" t="s">
        <v>404</v>
      </c>
      <c r="D14" s="50" t="s">
        <v>383</v>
      </c>
      <c r="E14" s="50" t="s">
        <v>252</v>
      </c>
      <c r="F14" s="3" t="s">
        <v>95</v>
      </c>
    </row>
    <row r="15" spans="3:17" ht="14.25" customHeight="1" x14ac:dyDescent="0.2">
      <c r="D15" s="51"/>
      <c r="E15" s="51"/>
    </row>
    <row r="16" spans="3:17" ht="14.25" customHeight="1" x14ac:dyDescent="0.2">
      <c r="C16" t="s">
        <v>394</v>
      </c>
      <c r="D16" s="58" t="str">
        <f>IFERROR(Fångster!AL12,"")</f>
        <v/>
      </c>
      <c r="E16" s="59" t="str">
        <f>IFERROR(Fångster!AN16,"")</f>
        <v>Ej klassad</v>
      </c>
      <c r="F16" s="62" t="str">
        <f>IFERROR(Fångster!AR15,"")</f>
        <v>Dålig status pga att fisk saknas.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3:17" ht="14.25" customHeight="1" x14ac:dyDescent="0.2">
      <c r="C17" t="s">
        <v>405</v>
      </c>
      <c r="D17" s="57" t="str">
        <f>IFERROR(Fångster!AF47,"")</f>
        <v/>
      </c>
      <c r="E17" s="5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3:17" ht="14.25" customHeight="1" x14ac:dyDescent="0.2">
      <c r="C18" t="s">
        <v>406</v>
      </c>
      <c r="D18" s="57">
        <f>IFERROR(Fångster!AI38,"")</f>
        <v>0</v>
      </c>
      <c r="E18" s="5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3:17" ht="14.25" customHeight="1" x14ac:dyDescent="0.2">
      <c r="C19" t="s">
        <v>407</v>
      </c>
      <c r="D19" s="57">
        <f>IFERROR(Fångster!AI39,"")</f>
        <v>0</v>
      </c>
      <c r="E19" s="5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3:17" ht="14.25" customHeight="1" x14ac:dyDescent="0.2">
      <c r="C20" t="s">
        <v>408</v>
      </c>
      <c r="D20" s="57">
        <f>IFERROR(Fångster!AI40,"")</f>
        <v>0</v>
      </c>
      <c r="E20" s="5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3:17" ht="14.25" customHeight="1" x14ac:dyDescent="0.2">
      <c r="C21" t="s">
        <v>409</v>
      </c>
      <c r="D21" s="57">
        <f>IFERROR(Fångster!AI41,"")</f>
        <v>0</v>
      </c>
      <c r="E21" s="5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3:17" ht="14.25" customHeight="1" x14ac:dyDescent="0.2">
      <c r="C22" t="s">
        <v>410</v>
      </c>
      <c r="D22" s="57">
        <f>IFERROR(Fångster!AI42,"")</f>
        <v>1</v>
      </c>
      <c r="E22" s="5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3:17" ht="14.25" customHeight="1" x14ac:dyDescent="0.2">
      <c r="C23" t="s">
        <v>411</v>
      </c>
      <c r="D23" s="57">
        <f>IFERROR(Fångster!AI46,"")</f>
        <v>0</v>
      </c>
      <c r="E23" s="56"/>
      <c r="F23" s="62" t="str">
        <f>IFERROR(Fångster!AR19,"")</f>
        <v/>
      </c>
      <c r="G23" s="63"/>
      <c r="H23" s="63"/>
      <c r="I23" s="63"/>
      <c r="J23" s="40"/>
      <c r="K23" s="40"/>
      <c r="L23" s="40"/>
      <c r="M23" s="40"/>
      <c r="N23" s="40"/>
      <c r="O23" s="40"/>
      <c r="P23" s="40"/>
      <c r="Q23" s="40"/>
    </row>
    <row r="24" spans="3:17" ht="14.25" customHeight="1" x14ac:dyDescent="0.2">
      <c r="D24" s="9"/>
      <c r="F24" s="6"/>
    </row>
    <row r="26" spans="3:17" ht="14.25" customHeight="1" x14ac:dyDescent="0.25">
      <c r="C26" s="3" t="s">
        <v>412</v>
      </c>
    </row>
    <row r="28" spans="3:17" ht="14.25" customHeight="1" x14ac:dyDescent="0.2">
      <c r="C28" t="s">
        <v>399</v>
      </c>
      <c r="D28" s="58" t="str">
        <f>IF(D16=0,0,IFERROR(VIXmod1!AL12,""))</f>
        <v/>
      </c>
      <c r="E28" s="60" t="str">
        <f>IF(D16=0,"Dålig",IFERROR(VIXmod1!AN16,""))</f>
        <v>Ej klassad</v>
      </c>
      <c r="F28" s="40" t="str">
        <f>IF(LEN(F16)&gt;0,"Se ovan","")</f>
        <v>Se ovan</v>
      </c>
      <c r="G28" s="40"/>
      <c r="H28" s="40"/>
      <c r="I28" s="40"/>
      <c r="J28" s="40"/>
      <c r="K28" s="40"/>
      <c r="L28" s="40"/>
    </row>
    <row r="29" spans="3:17" ht="14.25" customHeight="1" x14ac:dyDescent="0.2">
      <c r="C29" t="s">
        <v>400</v>
      </c>
      <c r="D29" s="56"/>
      <c r="E29" s="56"/>
      <c r="F29" s="40"/>
      <c r="G29" s="40"/>
      <c r="H29" s="40"/>
      <c r="I29" s="40"/>
      <c r="J29" s="40"/>
      <c r="K29" s="40"/>
      <c r="L29" s="40"/>
    </row>
    <row r="30" spans="3:17" ht="14.25" customHeight="1" x14ac:dyDescent="0.2">
      <c r="D30" s="56"/>
      <c r="E30" s="56"/>
      <c r="F30" s="40"/>
      <c r="G30" s="40"/>
      <c r="H30" s="40"/>
      <c r="I30" s="40"/>
      <c r="J30" s="40"/>
      <c r="K30" s="40"/>
      <c r="L30" s="40"/>
    </row>
    <row r="31" spans="3:17" ht="14.25" customHeight="1" x14ac:dyDescent="0.2">
      <c r="C31" t="s">
        <v>401</v>
      </c>
      <c r="D31" s="58" t="str">
        <f>IF(D16=0,0,IFERROR(VIXmod2!AL12,""))</f>
        <v/>
      </c>
      <c r="E31" s="60" t="str">
        <f>IF(D16=0,"Dålig",IFERROR(VIXmod2!AN16,""))</f>
        <v>Ej klassad</v>
      </c>
      <c r="F31" s="40" t="str">
        <f>IF(LEN(F16)&gt;0,"Se ovan","")</f>
        <v>Se ovan</v>
      </c>
      <c r="G31" s="40"/>
      <c r="H31" s="40"/>
      <c r="I31" s="40"/>
      <c r="J31" s="40"/>
      <c r="K31" s="40"/>
      <c r="L31" s="40"/>
    </row>
    <row r="32" spans="3:17" ht="14.25" customHeight="1" x14ac:dyDescent="0.2">
      <c r="C32" t="s">
        <v>402</v>
      </c>
      <c r="D32" s="56"/>
      <c r="E32" s="56"/>
      <c r="F32" s="40"/>
      <c r="G32" s="40"/>
      <c r="H32" s="40"/>
      <c r="I32" s="40"/>
      <c r="J32" s="40"/>
      <c r="K32" s="40"/>
      <c r="L32" s="40"/>
    </row>
    <row r="33" spans="3:12" ht="14.25" customHeight="1" x14ac:dyDescent="0.2">
      <c r="D33" s="56"/>
      <c r="E33" s="56"/>
      <c r="F33" s="40"/>
      <c r="G33" s="40"/>
      <c r="H33" s="40"/>
      <c r="I33" s="40"/>
      <c r="J33" s="40"/>
      <c r="K33" s="40"/>
      <c r="L33" s="40"/>
    </row>
    <row r="34" spans="3:12" ht="14.25" customHeight="1" x14ac:dyDescent="0.2">
      <c r="C34" t="s">
        <v>398</v>
      </c>
      <c r="D34" s="58" t="str">
        <f>IFERROR(VIXmorf!H2,"")</f>
        <v/>
      </c>
      <c r="E34" s="56"/>
      <c r="F34" s="62" t="str">
        <f>IFERROR(VIXmorf!H5,"")</f>
        <v>Metadata saknades för beräkning av VIX. VIXmorf ej tillämpbart.</v>
      </c>
      <c r="G34" s="63"/>
      <c r="H34" s="63"/>
      <c r="I34" s="63"/>
      <c r="J34" s="63"/>
      <c r="K34" s="63"/>
      <c r="L34" s="63"/>
    </row>
    <row r="35" spans="3:12" ht="14.25" customHeight="1" x14ac:dyDescent="0.2">
      <c r="D35" s="56"/>
      <c r="E35" s="56"/>
      <c r="F35" s="40"/>
      <c r="G35" s="40"/>
      <c r="H35" s="40"/>
      <c r="I35" s="40"/>
      <c r="J35" s="40"/>
      <c r="K35" s="40"/>
      <c r="L35" s="40"/>
    </row>
    <row r="36" spans="3:12" ht="14.25" customHeight="1" x14ac:dyDescent="0.2">
      <c r="C36" t="s">
        <v>395</v>
      </c>
      <c r="D36" s="58" t="str">
        <f>IFERROR(Fångster!AL7,"")</f>
        <v/>
      </c>
      <c r="E36" s="61"/>
      <c r="F36" s="40"/>
      <c r="G36" s="40"/>
      <c r="H36" s="40"/>
      <c r="I36" s="40"/>
      <c r="J36" s="40"/>
      <c r="K36" s="40"/>
      <c r="L36" s="40"/>
    </row>
    <row r="37" spans="3:12" ht="14.25" customHeight="1" x14ac:dyDescent="0.2">
      <c r="C37" t="s">
        <v>393</v>
      </c>
      <c r="D37" s="56"/>
      <c r="E37" s="56"/>
      <c r="F37" s="40"/>
      <c r="G37" s="40"/>
      <c r="H37" s="40"/>
      <c r="I37" s="40"/>
      <c r="J37" s="40"/>
      <c r="K37" s="40"/>
      <c r="L37" s="40"/>
    </row>
    <row r="38" spans="3:12" ht="14.25" customHeight="1" x14ac:dyDescent="0.2">
      <c r="D38" s="56"/>
      <c r="E38" s="56"/>
      <c r="F38" s="40"/>
      <c r="G38" s="40"/>
      <c r="H38" s="40"/>
      <c r="I38" s="40"/>
      <c r="J38" s="40"/>
      <c r="K38" s="40"/>
      <c r="L38" s="40"/>
    </row>
    <row r="39" spans="3:12" ht="14.25" customHeight="1" x14ac:dyDescent="0.2">
      <c r="C39" t="s">
        <v>397</v>
      </c>
      <c r="D39" s="58" t="str">
        <f>IFERROR(Fångster!AL10,"")</f>
        <v/>
      </c>
      <c r="E39" s="61"/>
      <c r="F39" s="40"/>
      <c r="G39" s="40"/>
      <c r="H39" s="40"/>
      <c r="I39" s="40"/>
      <c r="J39" s="40"/>
      <c r="K39" s="40"/>
      <c r="L39" s="40"/>
    </row>
    <row r="40" spans="3:12" ht="14.25" customHeight="1" x14ac:dyDescent="0.2">
      <c r="C40" t="s">
        <v>396</v>
      </c>
    </row>
    <row r="42" spans="3:12" ht="14.25" customHeight="1" x14ac:dyDescent="0.2">
      <c r="F42" s="1"/>
    </row>
    <row r="43" spans="3:12" ht="14.25" customHeight="1" x14ac:dyDescent="0.2">
      <c r="F43" s="1"/>
    </row>
  </sheetData>
  <sheetProtection algorithmName="SHA-512" hashValue="5ChhqSItYF/XuXb6Kb0ectsV0490ROAGHDxe03v0XG5sSgBND9C8dI4PkTog+cpXUedw4hT9oOAbXPaNPlWBqw==" saltValue="becsIJOPFxecK2kHQnF/+g==" spinCount="100000" sheet="1" objects="1" scenarios="1"/>
  <mergeCells count="3">
    <mergeCell ref="F23:I23"/>
    <mergeCell ref="F16:Q16"/>
    <mergeCell ref="F34:L34"/>
  </mergeCells>
  <conditionalFormatting sqref="F16">
    <cfRule type="containsText" dxfId="10" priority="9" operator="containsText" text="a">
      <formula>NOT(ISERROR(SEARCH("a",F16)))</formula>
    </cfRule>
  </conditionalFormatting>
  <conditionalFormatting sqref="F23">
    <cfRule type="containsText" dxfId="9" priority="8" operator="containsText" text="a">
      <formula>NOT(ISERROR(SEARCH("a",F23)))</formula>
    </cfRule>
  </conditionalFormatting>
  <conditionalFormatting sqref="F34">
    <cfRule type="containsText" dxfId="8" priority="7" operator="containsText" text="a">
      <formula>NOT(ISERROR(SEARCH("a",F34)))</formula>
    </cfRule>
  </conditionalFormatting>
  <conditionalFormatting sqref="E16 E28 E31">
    <cfRule type="containsText" dxfId="7" priority="2" operator="containsText" text="Dålig">
      <formula>NOT(ISERROR(SEARCH("Dålig",E16)))</formula>
    </cfRule>
    <cfRule type="containsText" dxfId="6" priority="3" operator="containsText" text="Otillfredsställande">
      <formula>NOT(ISERROR(SEARCH("Otillfredsställande",E16)))</formula>
    </cfRule>
    <cfRule type="containsText" dxfId="5" priority="4" operator="containsText" text="Måttlig">
      <formula>NOT(ISERROR(SEARCH("Måttlig",E16)))</formula>
    </cfRule>
    <cfRule type="containsText" dxfId="4" priority="5" operator="containsText" text="Hög">
      <formula>NOT(ISERROR(SEARCH("Hög",E16)))</formula>
    </cfRule>
    <cfRule type="containsText" dxfId="3" priority="6" operator="containsText" text="God">
      <formula>NOT(ISERROR(SEARCH("God",E16)))</formula>
    </cfRule>
  </conditionalFormatting>
  <conditionalFormatting sqref="F28 F31">
    <cfRule type="containsText" dxfId="2" priority="1" operator="containsText" text="a">
      <formula>NOT(ISERROR(SEARCH("a",F28)))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63"/>
  <sheetViews>
    <sheetView topLeftCell="AA1" workbookViewId="0">
      <selection activeCell="AA1" sqref="AA1"/>
    </sheetView>
  </sheetViews>
  <sheetFormatPr defaultRowHeight="14.25" x14ac:dyDescent="0.2"/>
  <cols>
    <col min="2" max="2" width="22.625" style="1" customWidth="1"/>
    <col min="3" max="4" width="9" style="1"/>
    <col min="5" max="5" width="25.625" style="1" customWidth="1"/>
    <col min="6" max="13" width="9" style="1" customWidth="1"/>
    <col min="14" max="22" width="9" customWidth="1"/>
    <col min="23" max="23" width="15.875" customWidth="1"/>
    <col min="24" max="24" width="10.75" customWidth="1"/>
    <col min="25" max="25" width="9" customWidth="1"/>
    <col min="26" max="26" width="9.875" customWidth="1"/>
    <col min="27" max="27" width="9.875" style="1" customWidth="1"/>
    <col min="28" max="28" width="15" customWidth="1"/>
    <col min="29" max="29" width="10.75" customWidth="1"/>
    <col min="30" max="30" width="9" customWidth="1"/>
    <col min="31" max="31" width="12.125" customWidth="1"/>
    <col min="32" max="33" width="9" customWidth="1"/>
    <col min="34" max="34" width="23.5" customWidth="1"/>
    <col min="35" max="35" width="12.25" customWidth="1"/>
    <col min="36" max="36" width="9" customWidth="1"/>
    <col min="37" max="37" width="14.75" customWidth="1"/>
    <col min="38" max="38" width="12.25" customWidth="1"/>
    <col min="39" max="39" width="9" customWidth="1"/>
    <col min="40" max="40" width="15.25" customWidth="1"/>
    <col min="41" max="42" width="9" customWidth="1"/>
    <col min="43" max="43" width="28.5" customWidth="1"/>
    <col min="44" max="44" width="105.75" customWidth="1"/>
  </cols>
  <sheetData>
    <row r="2" spans="2:44" ht="18" x14ac:dyDescent="0.25">
      <c r="B2" s="7" t="s">
        <v>382</v>
      </c>
    </row>
    <row r="3" spans="2:44" ht="18" x14ac:dyDescent="0.25">
      <c r="B3" s="23" t="s">
        <v>381</v>
      </c>
      <c r="AN3" t="s">
        <v>433</v>
      </c>
    </row>
    <row r="4" spans="2:44" ht="18" x14ac:dyDescent="0.25">
      <c r="B4" s="23" t="s">
        <v>380</v>
      </c>
      <c r="AI4" s="4"/>
    </row>
    <row r="5" spans="2:44" ht="15" x14ac:dyDescent="0.25">
      <c r="AB5" s="3" t="s">
        <v>46</v>
      </c>
      <c r="AE5" s="3" t="s">
        <v>102</v>
      </c>
      <c r="AH5" s="3" t="s">
        <v>144</v>
      </c>
      <c r="AK5" s="3" t="s">
        <v>165</v>
      </c>
      <c r="AN5" s="3" t="s">
        <v>171</v>
      </c>
      <c r="AQ5" s="3" t="s">
        <v>204</v>
      </c>
    </row>
    <row r="6" spans="2:44" ht="15" x14ac:dyDescent="0.25">
      <c r="B6" s="2" t="s">
        <v>1</v>
      </c>
      <c r="C6" s="38" t="s">
        <v>2</v>
      </c>
      <c r="D6" s="38" t="s">
        <v>3</v>
      </c>
      <c r="E6" s="38"/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1" t="s">
        <v>38</v>
      </c>
      <c r="N6" s="1" t="s">
        <v>43</v>
      </c>
      <c r="O6" s="1" t="s">
        <v>43</v>
      </c>
      <c r="P6" s="1" t="s">
        <v>44</v>
      </c>
      <c r="Q6" s="1" t="s">
        <v>45</v>
      </c>
      <c r="R6" t="s">
        <v>5</v>
      </c>
      <c r="U6" t="s">
        <v>6</v>
      </c>
      <c r="X6" s="1" t="str">
        <f>IF(Metadata!C15="","",Metadata!C15)</f>
        <v/>
      </c>
      <c r="Y6" s="1"/>
      <c r="Z6" s="1" t="s">
        <v>42</v>
      </c>
      <c r="AB6" s="1" t="s">
        <v>55</v>
      </c>
      <c r="AC6" s="1">
        <f>LOG10(X14+1)</f>
        <v>0</v>
      </c>
      <c r="AD6" s="1"/>
      <c r="AE6" s="1" t="s">
        <v>103</v>
      </c>
      <c r="AF6" s="1" t="e">
        <f>1.66116091793142+(1.488473442075*AC43)+(-1.39342892495772*AC16)+(0.24959604363756*AC40)+(-0.0436095450966362*AC41)+(0.0969550490237131*AC42)+(-0.818353424505666*AC30)</f>
        <v>#VALUE!</v>
      </c>
      <c r="AG6" s="1"/>
      <c r="AH6" s="1" t="s">
        <v>222</v>
      </c>
      <c r="AI6" s="10" t="str">
        <f>IF(OR(AR17="Ja",X22=0),"",NORMSDIST(AF45))</f>
        <v/>
      </c>
      <c r="AK6" t="s">
        <v>166</v>
      </c>
      <c r="AL6" s="1" t="e">
        <f>AVERAGE(AI6:AI11)</f>
        <v>#DIV/0!</v>
      </c>
      <c r="AM6" s="1"/>
      <c r="AN6" s="1" t="s">
        <v>170</v>
      </c>
      <c r="AO6" s="1" t="str">
        <f>IF(AL12="","",IF(AL12&lt;0.0813,5,IF(AL12&lt;0.27403,4,IF(AL12&lt;0.46675,3,IF(AL12&lt;0.7492,2,1)))))</f>
        <v/>
      </c>
      <c r="AP6" s="1"/>
      <c r="AQ6" s="1">
        <v>0</v>
      </c>
      <c r="AR6" s="1" t="s">
        <v>206</v>
      </c>
    </row>
    <row r="7" spans="2:44" ht="15" customHeight="1" x14ac:dyDescent="0.2">
      <c r="B7" s="39" t="s">
        <v>4</v>
      </c>
      <c r="C7" s="41">
        <f>Fångster!C7</f>
        <v>0</v>
      </c>
      <c r="D7" s="41">
        <f>Fångster!D7</f>
        <v>0</v>
      </c>
      <c r="E7" s="40" t="str">
        <f>IF(OR(C7&lt;0,D7&lt;0,C7="",D7=""),"Ska vara 0 eller positiva tal.","")</f>
        <v/>
      </c>
      <c r="F7" s="5">
        <v>1</v>
      </c>
      <c r="H7" s="1">
        <v>1</v>
      </c>
      <c r="I7" s="1">
        <v>1</v>
      </c>
      <c r="J7" s="1">
        <f t="shared" ref="J7:J35" si="0">R7*F7</f>
        <v>0</v>
      </c>
      <c r="K7" s="1">
        <f t="shared" ref="K7:K35" si="1">R7*G7</f>
        <v>0</v>
      </c>
      <c r="L7" s="1">
        <f t="shared" ref="L7:L35" si="2">R7*I7</f>
        <v>0</v>
      </c>
      <c r="M7" s="1">
        <f t="shared" ref="M7:M35" si="3">R7*H7</f>
        <v>0</v>
      </c>
      <c r="N7" s="1">
        <f t="shared" ref="N7:O34" si="4">IF(C7&lt;0,0,IF(C7="",0,C7))</f>
        <v>0</v>
      </c>
      <c r="O7" s="1">
        <f t="shared" si="4"/>
        <v>0</v>
      </c>
      <c r="P7" s="1">
        <f t="shared" ref="P7" si="5">IF(R7&gt;0,1,0)</f>
        <v>0</v>
      </c>
      <c r="Q7" s="1">
        <f>IF(D7&gt;0,1,0)</f>
        <v>0</v>
      </c>
      <c r="R7" s="1">
        <f t="shared" ref="R7:R32" si="6">N7+O7</f>
        <v>0</v>
      </c>
      <c r="X7" s="1"/>
      <c r="Y7" s="1"/>
      <c r="Z7" s="1" t="e">
        <f t="shared" ref="Z7:Z34" si="7">POWER(R7/$X$8,2)</f>
        <v>#DIV/0!</v>
      </c>
      <c r="AB7" s="1" t="s">
        <v>56</v>
      </c>
      <c r="AC7" s="1">
        <f>ASIN(SQRT(X30))</f>
        <v>0</v>
      </c>
      <c r="AD7" s="1"/>
      <c r="AE7" s="1" t="s">
        <v>104</v>
      </c>
      <c r="AF7" s="1" t="e">
        <f>AC6-AF6</f>
        <v>#VALUE!</v>
      </c>
      <c r="AG7" s="1"/>
      <c r="AH7" s="1" t="s">
        <v>223</v>
      </c>
      <c r="AI7" s="1" t="str">
        <f>IF(OR(AR17="Ja",X22=0),"",1-NORMSDIST(AF44))</f>
        <v/>
      </c>
      <c r="AK7" t="s">
        <v>228</v>
      </c>
      <c r="AL7" s="1" t="str">
        <f>IF(AR17="Ja","",IF(X22&gt;0,AVERAGE(AI12:AI15),AL12))</f>
        <v/>
      </c>
      <c r="AM7" s="1"/>
      <c r="AN7" s="1" t="s">
        <v>231</v>
      </c>
      <c r="AO7" s="1" t="str">
        <f>AO6</f>
        <v/>
      </c>
      <c r="AP7" s="1"/>
      <c r="AQ7" s="1">
        <v>1</v>
      </c>
      <c r="AR7" s="1" t="s">
        <v>207</v>
      </c>
    </row>
    <row r="8" spans="2:44" ht="15" customHeight="1" x14ac:dyDescent="0.2">
      <c r="B8" s="39" t="s">
        <v>172</v>
      </c>
      <c r="C8" s="41">
        <f>Fångster!C8</f>
        <v>0</v>
      </c>
      <c r="D8" s="41">
        <f>Fångster!D8</f>
        <v>0</v>
      </c>
      <c r="E8" s="40" t="str">
        <f t="shared" ref="E8:E34" si="8">IF(OR(C8&lt;0,D8&lt;0,C8="",D8=""),"Ska vara 0 eller positiva tal.","")</f>
        <v/>
      </c>
      <c r="F8" s="5"/>
      <c r="H8" s="1">
        <v>1</v>
      </c>
      <c r="J8" s="1">
        <f t="shared" si="0"/>
        <v>0</v>
      </c>
      <c r="K8" s="1">
        <f t="shared" si="1"/>
        <v>0</v>
      </c>
      <c r="L8" s="1">
        <f t="shared" si="2"/>
        <v>0</v>
      </c>
      <c r="M8" s="1">
        <f t="shared" si="3"/>
        <v>0</v>
      </c>
      <c r="N8" s="1">
        <f t="shared" si="4"/>
        <v>0</v>
      </c>
      <c r="O8" s="1">
        <f t="shared" si="4"/>
        <v>0</v>
      </c>
      <c r="P8" s="1"/>
      <c r="Q8" s="1"/>
      <c r="R8" s="1">
        <f t="shared" si="6"/>
        <v>0</v>
      </c>
      <c r="U8" t="s">
        <v>218</v>
      </c>
      <c r="X8" s="1">
        <f>SUM(R7:R59)</f>
        <v>0</v>
      </c>
      <c r="Y8" s="1"/>
      <c r="Z8" s="1" t="e">
        <f t="shared" si="7"/>
        <v>#DIV/0!</v>
      </c>
      <c r="AB8" s="1" t="s">
        <v>57</v>
      </c>
      <c r="AC8" s="1">
        <f>ASIN(SQRT(X28))</f>
        <v>0</v>
      </c>
      <c r="AD8" s="1"/>
      <c r="AE8" s="1" t="s">
        <v>105</v>
      </c>
      <c r="AF8" s="1" t="e">
        <f>AF7/0.50796424520713</f>
        <v>#VALUE!</v>
      </c>
      <c r="AG8" s="1"/>
      <c r="AH8" s="1" t="s">
        <v>224</v>
      </c>
      <c r="AI8" s="1" t="str">
        <f>IF(OR(AR17="Ja",X22=0),"",NORMSDIST(AF46))</f>
        <v/>
      </c>
      <c r="AK8" t="s">
        <v>167</v>
      </c>
      <c r="AL8" s="1" t="str">
        <f>IF(X22&gt;0,AVERAGE(AI16:AI21),AL12)</f>
        <v/>
      </c>
      <c r="AM8" s="1"/>
      <c r="AN8" s="1" t="s">
        <v>232</v>
      </c>
      <c r="AO8" s="1" t="str">
        <f>IF(AND(X22&gt;0,AC24&lt;800),AO6,AO7)</f>
        <v/>
      </c>
      <c r="AP8" s="1"/>
      <c r="AQ8" s="1">
        <v>2</v>
      </c>
      <c r="AR8" s="1" t="s">
        <v>415</v>
      </c>
    </row>
    <row r="9" spans="2:44" ht="15" customHeight="1" x14ac:dyDescent="0.2">
      <c r="B9" s="39" t="s">
        <v>173</v>
      </c>
      <c r="C9" s="41">
        <f>Fångster!C9</f>
        <v>0</v>
      </c>
      <c r="D9" s="41">
        <f>Fångster!D9</f>
        <v>0</v>
      </c>
      <c r="E9" s="40" t="str">
        <f t="shared" si="8"/>
        <v/>
      </c>
      <c r="F9" s="5">
        <v>1</v>
      </c>
      <c r="H9" s="1">
        <v>1</v>
      </c>
      <c r="J9" s="1">
        <f t="shared" si="0"/>
        <v>0</v>
      </c>
      <c r="K9" s="1">
        <f t="shared" si="1"/>
        <v>0</v>
      </c>
      <c r="L9" s="1">
        <f t="shared" si="2"/>
        <v>0</v>
      </c>
      <c r="M9" s="1">
        <f t="shared" si="3"/>
        <v>0</v>
      </c>
      <c r="N9" s="1">
        <f t="shared" si="4"/>
        <v>0</v>
      </c>
      <c r="O9" s="1">
        <f t="shared" si="4"/>
        <v>0</v>
      </c>
      <c r="P9" s="1"/>
      <c r="Q9" s="1"/>
      <c r="R9" s="1">
        <f t="shared" si="6"/>
        <v>0</v>
      </c>
      <c r="X9" s="1"/>
      <c r="Y9" s="1"/>
      <c r="Z9" s="1" t="e">
        <f t="shared" si="7"/>
        <v>#DIV/0!</v>
      </c>
      <c r="AB9" s="1" t="s">
        <v>58</v>
      </c>
      <c r="AC9" s="1">
        <f>ASIN(SQRT(X24))</f>
        <v>0</v>
      </c>
      <c r="AD9" s="1"/>
      <c r="AE9" s="1" t="s">
        <v>106</v>
      </c>
      <c r="AF9" s="1" t="e">
        <f>-3.14677066431973+(-0.224952697289238*AC35)+(0.343990633341144*AC28)+(0.795185661029741*AC30)+(0.638765551272788*AC25)+(1.43629446381192*AC44)</f>
        <v>#VALUE!</v>
      </c>
      <c r="AG9" s="1"/>
      <c r="AH9" s="1" t="s">
        <v>225</v>
      </c>
      <c r="AI9" s="1" t="str">
        <f>IF(OR(AR17="Ja",X22=0),"",1-NORMSDIST(AF32))</f>
        <v/>
      </c>
      <c r="AK9" t="s">
        <v>168</v>
      </c>
      <c r="AL9" s="1" t="str">
        <f>IF(X22&gt;0,AVERAGE(AI22:AI25),AL12)</f>
        <v/>
      </c>
      <c r="AM9" s="1"/>
      <c r="AN9" s="1" t="s">
        <v>233</v>
      </c>
      <c r="AO9" s="1" t="str">
        <f>IF(AND(X22=0,AC24&gt;800),"",AO7)</f>
        <v/>
      </c>
      <c r="AP9" s="1"/>
      <c r="AQ9" s="1">
        <v>3</v>
      </c>
      <c r="AR9" s="1" t="s">
        <v>416</v>
      </c>
    </row>
    <row r="10" spans="2:44" ht="15" customHeight="1" x14ac:dyDescent="0.2">
      <c r="B10" s="39" t="s">
        <v>9</v>
      </c>
      <c r="C10" s="41">
        <f>Fångster!C10</f>
        <v>0</v>
      </c>
      <c r="D10" s="41">
        <f>Fångster!D10</f>
        <v>0</v>
      </c>
      <c r="E10" s="40" t="str">
        <f t="shared" si="8"/>
        <v/>
      </c>
      <c r="F10" s="5"/>
      <c r="H10" s="1">
        <v>1</v>
      </c>
      <c r="J10" s="1">
        <f t="shared" si="0"/>
        <v>0</v>
      </c>
      <c r="K10" s="1">
        <f t="shared" si="1"/>
        <v>0</v>
      </c>
      <c r="L10" s="1">
        <f t="shared" si="2"/>
        <v>0</v>
      </c>
      <c r="M10" s="1">
        <f t="shared" si="3"/>
        <v>0</v>
      </c>
      <c r="N10" s="1">
        <f t="shared" si="4"/>
        <v>0</v>
      </c>
      <c r="O10" s="1">
        <f t="shared" si="4"/>
        <v>0</v>
      </c>
      <c r="P10" s="1"/>
      <c r="Q10" s="1"/>
      <c r="R10" s="1">
        <f t="shared" si="6"/>
        <v>0</v>
      </c>
      <c r="U10" t="s">
        <v>219</v>
      </c>
      <c r="X10" s="1">
        <f>SUM(J7:J59)</f>
        <v>0</v>
      </c>
      <c r="Y10" s="1"/>
      <c r="Z10" s="1" t="e">
        <f t="shared" si="7"/>
        <v>#DIV/0!</v>
      </c>
      <c r="AB10" s="1" t="s">
        <v>59</v>
      </c>
      <c r="AC10" s="1">
        <f>ASIN(SQRT(X26))</f>
        <v>0</v>
      </c>
      <c r="AD10" s="1"/>
      <c r="AE10" s="1" t="s">
        <v>107</v>
      </c>
      <c r="AF10" s="1" t="e">
        <f>AC6-AF9</f>
        <v>#VALUE!</v>
      </c>
      <c r="AG10" s="1"/>
      <c r="AH10" s="1" t="s">
        <v>226</v>
      </c>
      <c r="AI10" s="1" t="str">
        <f>IF(OR(AR17="Ja",X22=0),"",NORMSDIST(AF35))</f>
        <v/>
      </c>
      <c r="AK10" t="s">
        <v>229</v>
      </c>
      <c r="AL10" s="1" t="str">
        <f>IF(AR17="Ja","",IF(X22&gt;0,AVERAGE(AI26:AI29),AL12))</f>
        <v/>
      </c>
      <c r="AM10" s="1"/>
      <c r="AN10" s="1" t="s">
        <v>234</v>
      </c>
      <c r="AO10" s="1" t="str">
        <f>IF(AND(X22&gt;0,AC24&gt;800),AO6,AO7)</f>
        <v/>
      </c>
      <c r="AP10" s="1"/>
      <c r="AQ10" s="1">
        <v>4</v>
      </c>
      <c r="AR10" s="1" t="s">
        <v>434</v>
      </c>
    </row>
    <row r="11" spans="2:44" ht="15" customHeight="1" x14ac:dyDescent="0.2">
      <c r="B11" s="39" t="s">
        <v>11</v>
      </c>
      <c r="C11" s="41">
        <f>Fångster!C11</f>
        <v>0</v>
      </c>
      <c r="D11" s="41">
        <f>Fångster!D11</f>
        <v>0</v>
      </c>
      <c r="E11" s="40" t="str">
        <f t="shared" si="8"/>
        <v/>
      </c>
      <c r="F11" s="5">
        <v>1</v>
      </c>
      <c r="H11" s="1">
        <v>1</v>
      </c>
      <c r="I11" s="1">
        <v>1</v>
      </c>
      <c r="J11" s="1">
        <f t="shared" si="0"/>
        <v>0</v>
      </c>
      <c r="K11" s="1">
        <f t="shared" si="1"/>
        <v>0</v>
      </c>
      <c r="L11" s="1">
        <f t="shared" si="2"/>
        <v>0</v>
      </c>
      <c r="M11" s="1">
        <f t="shared" si="3"/>
        <v>0</v>
      </c>
      <c r="N11" s="1">
        <f t="shared" si="4"/>
        <v>0</v>
      </c>
      <c r="O11" s="1">
        <f t="shared" si="4"/>
        <v>0</v>
      </c>
      <c r="P11" s="1">
        <f t="shared" ref="P11:P27" si="9">IF(R11&gt;0,1,0)</f>
        <v>0</v>
      </c>
      <c r="Q11" s="1">
        <f>IF(D11&gt;0,1,0)</f>
        <v>0</v>
      </c>
      <c r="R11" s="1">
        <f t="shared" si="6"/>
        <v>0</v>
      </c>
      <c r="X11" s="1"/>
      <c r="Y11" s="1"/>
      <c r="Z11" s="1" t="e">
        <f t="shared" si="7"/>
        <v>#DIV/0!</v>
      </c>
      <c r="AB11" s="1" t="s">
        <v>60</v>
      </c>
      <c r="AC11" s="1" t="str">
        <f>IF(X34="","",ASIN(SQRT(X34)))</f>
        <v/>
      </c>
      <c r="AD11" s="1"/>
      <c r="AE11" s="1" t="s">
        <v>108</v>
      </c>
      <c r="AF11" s="1" t="e">
        <f>AF10/0.438375590800153</f>
        <v>#VALUE!</v>
      </c>
      <c r="AG11" s="1"/>
      <c r="AH11" s="1" t="s">
        <v>227</v>
      </c>
      <c r="AI11" s="1" t="str">
        <f>IF(AR17="Ja","",IF(AF38="","",NORMSDIST(AF38)))</f>
        <v/>
      </c>
      <c r="AK11" t="s">
        <v>169</v>
      </c>
      <c r="AL11" s="1" t="str">
        <f>IF(X22&gt;0,AVERAGE(AI30:AI32),AL12)</f>
        <v/>
      </c>
      <c r="AM11" s="1"/>
      <c r="AN11" s="1" t="s">
        <v>235</v>
      </c>
      <c r="AO11" s="1" t="str">
        <f>IF(AND(X22=0,AC24&lt;800),5,AO7)</f>
        <v/>
      </c>
      <c r="AP11" s="1"/>
      <c r="AQ11" s="1">
        <v>5</v>
      </c>
      <c r="AR11" s="1" t="s">
        <v>417</v>
      </c>
    </row>
    <row r="12" spans="2:44" ht="15" customHeight="1" x14ac:dyDescent="0.2">
      <c r="B12" s="39" t="s">
        <v>174</v>
      </c>
      <c r="C12" s="41">
        <f>Fångster!C12</f>
        <v>0</v>
      </c>
      <c r="D12" s="41">
        <f>Fångster!D12</f>
        <v>0</v>
      </c>
      <c r="E12" s="40" t="str">
        <f t="shared" si="8"/>
        <v/>
      </c>
      <c r="F12" s="5"/>
      <c r="G12" s="1">
        <v>1</v>
      </c>
      <c r="J12" s="1">
        <f t="shared" si="0"/>
        <v>0</v>
      </c>
      <c r="K12" s="1">
        <f t="shared" si="1"/>
        <v>0</v>
      </c>
      <c r="L12" s="1">
        <f t="shared" si="2"/>
        <v>0</v>
      </c>
      <c r="M12" s="1">
        <f t="shared" si="3"/>
        <v>0</v>
      </c>
      <c r="N12" s="1">
        <f t="shared" si="4"/>
        <v>0</v>
      </c>
      <c r="O12" s="1">
        <f t="shared" si="4"/>
        <v>0</v>
      </c>
      <c r="P12" s="1"/>
      <c r="Q12" s="1"/>
      <c r="R12" s="1">
        <f t="shared" si="6"/>
        <v>0</v>
      </c>
      <c r="U12" t="s">
        <v>220</v>
      </c>
      <c r="X12" s="1">
        <f>SUM(K7:K59)</f>
        <v>0</v>
      </c>
      <c r="Y12" s="1"/>
      <c r="Z12" s="1" t="e">
        <f t="shared" si="7"/>
        <v>#DIV/0!</v>
      </c>
      <c r="AB12" s="1" t="s">
        <v>61</v>
      </c>
      <c r="AC12" s="1" t="e">
        <f>ASIN(SQRT(X32))</f>
        <v>#DIV/0!</v>
      </c>
      <c r="AD12" s="1"/>
      <c r="AE12" s="1" t="s">
        <v>109</v>
      </c>
      <c r="AF12" s="1" t="e">
        <f>2.02198650086536+(-0.341081739117522*AC35)+(1.21509353235713*AC30)+(-0.973454269847993*AC39)+(-1.77491015228841*AC16)</f>
        <v>#VALUE!</v>
      </c>
      <c r="AG12" s="1"/>
      <c r="AH12" s="1" t="s">
        <v>145</v>
      </c>
      <c r="AI12" s="1" t="e">
        <f>NORMSDIST(AF45)</f>
        <v>#VALUE!</v>
      </c>
      <c r="AK12" t="s">
        <v>230</v>
      </c>
      <c r="AL12" s="1" t="str">
        <f>IF(AC13="","",IF(AC16="","",IF(AC19="","",IF(AC23="","",IF(AC25="","",IF(AC28="","",IF(AC33="","",IF(AC35="","",IF(AC37="","",IF(AND(X22=0,AC24&lt;800),0,AL6))))))))))</f>
        <v/>
      </c>
      <c r="AM12" s="1"/>
      <c r="AN12" s="1"/>
      <c r="AO12" s="1"/>
      <c r="AP12" s="1"/>
      <c r="AQ12" s="1">
        <v>6</v>
      </c>
      <c r="AR12" s="1" t="s">
        <v>418</v>
      </c>
    </row>
    <row r="13" spans="2:44" ht="15" customHeight="1" x14ac:dyDescent="0.2">
      <c r="B13" s="39" t="s">
        <v>25</v>
      </c>
      <c r="C13" s="41">
        <f>Fångster!C13</f>
        <v>0</v>
      </c>
      <c r="D13" s="41">
        <f>Fångster!D13</f>
        <v>0</v>
      </c>
      <c r="E13" s="40" t="str">
        <f t="shared" si="8"/>
        <v/>
      </c>
      <c r="F13" s="5"/>
      <c r="H13" s="1">
        <v>1</v>
      </c>
      <c r="J13" s="1">
        <f t="shared" si="0"/>
        <v>0</v>
      </c>
      <c r="K13" s="1">
        <f t="shared" si="1"/>
        <v>0</v>
      </c>
      <c r="L13" s="1">
        <f t="shared" si="2"/>
        <v>0</v>
      </c>
      <c r="M13" s="1">
        <f t="shared" si="3"/>
        <v>0</v>
      </c>
      <c r="N13" s="1">
        <f t="shared" si="4"/>
        <v>0</v>
      </c>
      <c r="O13" s="1">
        <f t="shared" si="4"/>
        <v>0</v>
      </c>
      <c r="P13" s="1"/>
      <c r="Q13" s="1"/>
      <c r="R13" s="1">
        <f t="shared" si="6"/>
        <v>0</v>
      </c>
      <c r="X13" s="1"/>
      <c r="Y13" s="1"/>
      <c r="Z13" s="1" t="e">
        <f t="shared" si="7"/>
        <v>#DIV/0!</v>
      </c>
      <c r="AB13" s="1" t="s">
        <v>7</v>
      </c>
      <c r="AC13" s="1" t="str">
        <f>IF(X6="Insjö",2,IF(X6="Hav",3,IF(X6="Ström",1,"")))</f>
        <v/>
      </c>
      <c r="AD13" s="1"/>
      <c r="AE13" s="1" t="s">
        <v>110</v>
      </c>
      <c r="AF13" s="1" t="e">
        <f>AC6-AF12</f>
        <v>#VALUE!</v>
      </c>
      <c r="AG13" s="1"/>
      <c r="AH13" s="1" t="s">
        <v>146</v>
      </c>
      <c r="AI13" s="1" t="e">
        <f>NORMSDIST(AF46)</f>
        <v>#VALUE!</v>
      </c>
      <c r="AL13" s="1"/>
      <c r="AM13" s="1"/>
      <c r="AN13" s="1"/>
      <c r="AO13" s="1"/>
      <c r="AP13" s="1"/>
      <c r="AQ13" s="1">
        <v>7</v>
      </c>
      <c r="AR13" s="1" t="s">
        <v>441</v>
      </c>
    </row>
    <row r="14" spans="2:44" ht="15" customHeight="1" x14ac:dyDescent="0.2">
      <c r="B14" s="39" t="s">
        <v>175</v>
      </c>
      <c r="C14" s="41">
        <f>Fångster!C14</f>
        <v>0</v>
      </c>
      <c r="D14" s="41">
        <f>Fångster!D14</f>
        <v>0</v>
      </c>
      <c r="E14" s="40" t="str">
        <f t="shared" si="8"/>
        <v/>
      </c>
      <c r="F14" s="5"/>
      <c r="G14" s="1">
        <v>1</v>
      </c>
      <c r="J14" s="1">
        <f t="shared" si="0"/>
        <v>0</v>
      </c>
      <c r="K14" s="1">
        <f t="shared" si="1"/>
        <v>0</v>
      </c>
      <c r="L14" s="1">
        <f t="shared" si="2"/>
        <v>0</v>
      </c>
      <c r="M14" s="1">
        <f t="shared" si="3"/>
        <v>0</v>
      </c>
      <c r="N14" s="1">
        <f t="shared" si="4"/>
        <v>0</v>
      </c>
      <c r="O14" s="1">
        <f t="shared" si="4"/>
        <v>0</v>
      </c>
      <c r="P14" s="1"/>
      <c r="Q14" s="1"/>
      <c r="R14" s="1">
        <f t="shared" si="6"/>
        <v>0</v>
      </c>
      <c r="U14" t="s">
        <v>350</v>
      </c>
      <c r="X14" s="1">
        <f>SUM(L7:L59)</f>
        <v>0</v>
      </c>
      <c r="Y14" s="1"/>
      <c r="Z14" s="1" t="e">
        <f t="shared" si="7"/>
        <v>#DIV/0!</v>
      </c>
      <c r="AB14" s="1" t="s">
        <v>48</v>
      </c>
      <c r="AC14" s="1" t="str">
        <f>IF(Metadata!C19="","",Metadata!C19)</f>
        <v/>
      </c>
      <c r="AD14" s="1"/>
      <c r="AE14" s="1" t="s">
        <v>111</v>
      </c>
      <c r="AF14" s="1" t="e">
        <f>AF13/0.443543165275139</f>
        <v>#VALUE!</v>
      </c>
      <c r="AG14" s="1"/>
      <c r="AH14" s="1" t="s">
        <v>147</v>
      </c>
      <c r="AI14" s="1" t="e">
        <f>NORMSDIST(AF35)</f>
        <v>#VALUE!</v>
      </c>
      <c r="AL14" s="1"/>
      <c r="AM14" s="1"/>
      <c r="AN14" s="1"/>
      <c r="AO14" s="1"/>
      <c r="AP14" s="1"/>
      <c r="AQ14" s="1"/>
      <c r="AR14" s="1"/>
    </row>
    <row r="15" spans="2:44" ht="15" customHeight="1" x14ac:dyDescent="0.25">
      <c r="B15" s="39" t="s">
        <v>176</v>
      </c>
      <c r="C15" s="41">
        <f>Fångster!C15</f>
        <v>0</v>
      </c>
      <c r="D15" s="41">
        <f>Fångster!D15</f>
        <v>0</v>
      </c>
      <c r="E15" s="40" t="str">
        <f t="shared" si="8"/>
        <v/>
      </c>
      <c r="F15" s="5">
        <v>1</v>
      </c>
      <c r="H15" s="1">
        <v>1</v>
      </c>
      <c r="J15" s="1">
        <f t="shared" si="0"/>
        <v>0</v>
      </c>
      <c r="K15" s="1">
        <f t="shared" si="1"/>
        <v>0</v>
      </c>
      <c r="L15" s="1">
        <f t="shared" si="2"/>
        <v>0</v>
      </c>
      <c r="M15" s="1">
        <f t="shared" si="3"/>
        <v>0</v>
      </c>
      <c r="N15" s="1">
        <f t="shared" si="4"/>
        <v>0</v>
      </c>
      <c r="O15" s="1">
        <f t="shared" si="4"/>
        <v>0</v>
      </c>
      <c r="P15" s="1"/>
      <c r="Q15" s="1"/>
      <c r="R15" s="1">
        <f t="shared" si="6"/>
        <v>0</v>
      </c>
      <c r="X15" s="1"/>
      <c r="Y15" s="1"/>
      <c r="Z15" s="1" t="e">
        <f t="shared" si="7"/>
        <v>#DIV/0!</v>
      </c>
      <c r="AB15" s="1" t="s">
        <v>47</v>
      </c>
      <c r="AC15" s="1" t="str">
        <f>IF(AC14="&lt;10 (1)",1,IF(AC14="&lt;100 (2)",2,IF(AC14="&lt;1000 (3)",3,IF(AC14="&lt;10000 (4)",4,IF(AC14="&gt;10000 (5)",5,IF(AC14="","",IF(AC14=-9,"","")))))))</f>
        <v/>
      </c>
      <c r="AD15" s="1"/>
      <c r="AE15" s="1" t="s">
        <v>112</v>
      </c>
      <c r="AF15" s="1" t="e">
        <f>2.39560878593873+(2.96764417196779*AC43)+(-1.82167860380229*AC30)+(-3.13890005209816*AC16)+(0.521626311829737*AC35)+(-0.25805302883851*AC28)</f>
        <v>#VALUE!</v>
      </c>
      <c r="AG15" s="1"/>
      <c r="AH15" s="1" t="s">
        <v>148</v>
      </c>
      <c r="AI15" s="1" t="str">
        <f>IF(AF38="","",NORMSDIST(AF38))</f>
        <v/>
      </c>
      <c r="AK15" s="3" t="s">
        <v>208</v>
      </c>
      <c r="AL15" s="1"/>
      <c r="AM15" s="1"/>
      <c r="AN15" s="2" t="s">
        <v>252</v>
      </c>
      <c r="AP15" s="1"/>
      <c r="AQ15" s="2" t="s">
        <v>95</v>
      </c>
      <c r="AR15" s="1" t="str">
        <f>IF(AND(X22=0,Metadata!C18&gt;=800),AR6,IF(AND(X22=0,AC24&lt;800,AC15&lt;=1,X38="Nej"),AR9,IF(AND(X22=0,AC24&lt;800,AC15&lt;=1,X38="Ja"),AR12,IF(AND(X22=0,AC24&lt;800,AC15&gt;1,X38="Ja"),AR11,IF(X22=0,AR8,IF(AR17="Ja",AR10,IF(AND(X22&gt;0,AC24&gt;=800),AR7,IF(OR(X36&lt;7,X36&gt;10),AR13,""))))))))</f>
        <v>Dålig status pga att fisk saknas.</v>
      </c>
    </row>
    <row r="16" spans="2:44" ht="15" customHeight="1" x14ac:dyDescent="0.2">
      <c r="B16" s="39" t="s">
        <v>177</v>
      </c>
      <c r="C16" s="41">
        <f>Fångster!C16</f>
        <v>0</v>
      </c>
      <c r="D16" s="41">
        <f>Fångster!D16</f>
        <v>0</v>
      </c>
      <c r="E16" s="40" t="str">
        <f t="shared" si="8"/>
        <v/>
      </c>
      <c r="F16" s="5"/>
      <c r="G16" s="1">
        <v>1</v>
      </c>
      <c r="J16" s="1">
        <f t="shared" si="0"/>
        <v>0</v>
      </c>
      <c r="K16" s="1">
        <f t="shared" si="1"/>
        <v>0</v>
      </c>
      <c r="L16" s="1">
        <f t="shared" si="2"/>
        <v>0</v>
      </c>
      <c r="M16" s="1">
        <f t="shared" si="3"/>
        <v>0</v>
      </c>
      <c r="N16" s="1">
        <f t="shared" si="4"/>
        <v>0</v>
      </c>
      <c r="O16" s="1">
        <f t="shared" si="4"/>
        <v>0</v>
      </c>
      <c r="P16" s="1"/>
      <c r="Q16" s="1"/>
      <c r="R16" s="1">
        <f t="shared" si="6"/>
        <v>0</v>
      </c>
      <c r="U16" t="s">
        <v>221</v>
      </c>
      <c r="X16" s="1">
        <f>SUM(M7:M59)</f>
        <v>0</v>
      </c>
      <c r="Y16" s="1"/>
      <c r="Z16" s="1" t="e">
        <f t="shared" si="7"/>
        <v>#DIV/0!</v>
      </c>
      <c r="AB16" s="1" t="s">
        <v>62</v>
      </c>
      <c r="AC16" s="1" t="e">
        <f>IF(AC15&gt;0,LOG10(AC15+1),"")</f>
        <v>#VALUE!</v>
      </c>
      <c r="AD16" s="1"/>
      <c r="AE16" s="1" t="s">
        <v>113</v>
      </c>
      <c r="AF16" s="1" t="e">
        <f>AC6-AF15</f>
        <v>#VALUE!</v>
      </c>
      <c r="AG16" s="1"/>
      <c r="AH16" s="1" t="s">
        <v>149</v>
      </c>
      <c r="AI16" s="10" t="e">
        <f>NORMSDIST(AF45)</f>
        <v>#VALUE!</v>
      </c>
      <c r="AK16" t="s">
        <v>209</v>
      </c>
      <c r="AL16" s="10" t="e">
        <f>POWER(10,AF6)-1</f>
        <v>#VALUE!</v>
      </c>
      <c r="AM16" s="13"/>
      <c r="AN16" s="1" t="str">
        <f>IF(AND(X22=0,AC24&lt;800,AC15&lt;=1,X38="Nej"),"Dålig",IF(AND(X22=0,AC24&lt;800,AC15&lt;=1,X38="Ja"),"Dålig",IF(AND(X22=0,AC24&lt;800,AC15&gt;1,X38="Ja"),"Dålig",IF(AND(X22=0,AC24&gt;=800),"Ej klassad",IF(X22=0,"Dålig",IF(AR17="Ja","Ej klassad",IFERROR(IF(AO7=1,"Hög",IF(AO7=2,"God",IF(AO7=3,"Måttlig",IF(AO7=4,"Otillfredsställande",IF(AO7=5,"Dålig","Ej klassad"))))),"Ej klassad")))))))</f>
        <v>Ej klassad</v>
      </c>
      <c r="AO16" s="1"/>
      <c r="AP16" s="1"/>
      <c r="AQ16" s="1"/>
      <c r="AR16" s="1"/>
    </row>
    <row r="17" spans="2:44" ht="15" customHeight="1" x14ac:dyDescent="0.25">
      <c r="B17" s="39" t="s">
        <v>178</v>
      </c>
      <c r="C17" s="41">
        <f>Fångster!C17</f>
        <v>0</v>
      </c>
      <c r="D17" s="41">
        <f>Fångster!D17</f>
        <v>0</v>
      </c>
      <c r="E17" s="40" t="str">
        <f t="shared" si="8"/>
        <v/>
      </c>
      <c r="F17" s="5"/>
      <c r="G17" s="1">
        <v>1</v>
      </c>
      <c r="J17" s="1">
        <f t="shared" si="0"/>
        <v>0</v>
      </c>
      <c r="K17" s="1">
        <f t="shared" si="1"/>
        <v>0</v>
      </c>
      <c r="L17" s="1">
        <f t="shared" si="2"/>
        <v>0</v>
      </c>
      <c r="M17" s="1">
        <f t="shared" si="3"/>
        <v>0</v>
      </c>
      <c r="N17" s="1">
        <f t="shared" si="4"/>
        <v>0</v>
      </c>
      <c r="O17" s="1">
        <f t="shared" si="4"/>
        <v>0</v>
      </c>
      <c r="P17" s="1"/>
      <c r="Q17" s="1"/>
      <c r="R17" s="1">
        <f t="shared" si="6"/>
        <v>0</v>
      </c>
      <c r="X17" s="1"/>
      <c r="Y17" s="1"/>
      <c r="Z17" s="1" t="e">
        <f t="shared" si="7"/>
        <v>#DIV/0!</v>
      </c>
      <c r="AB17" s="1" t="s">
        <v>50</v>
      </c>
      <c r="AC17" s="1" t="str">
        <f>IF(Metadata!C20="","",Metadata!C20)</f>
        <v/>
      </c>
      <c r="AD17" s="1"/>
      <c r="AE17" s="1" t="s">
        <v>114</v>
      </c>
      <c r="AF17" s="1" t="e">
        <f>AF16/0.408372984000728</f>
        <v>#VALUE!</v>
      </c>
      <c r="AG17" s="1"/>
      <c r="AH17" s="1" t="s">
        <v>150</v>
      </c>
      <c r="AI17" s="1" t="e">
        <f>1-NORMSDIST(AF44)</f>
        <v>#VALUE!</v>
      </c>
      <c r="AK17" t="s">
        <v>210</v>
      </c>
      <c r="AL17" s="1" t="e">
        <f>POWER(10,AF9)-1</f>
        <v>#VALUE!</v>
      </c>
      <c r="AM17" s="1"/>
      <c r="AN17" s="1"/>
      <c r="AO17" s="1"/>
      <c r="AP17" s="1"/>
      <c r="AQ17" s="2" t="s">
        <v>419</v>
      </c>
      <c r="AR17" s="1" t="str">
        <f>IF(OR(AC13="",AC15="",AC18="",AC22="",AC24="",AC26="",AC31="",AC34="",AC36=""),"Ja","Nej")</f>
        <v>Ja</v>
      </c>
    </row>
    <row r="18" spans="2:44" ht="15" customHeight="1" x14ac:dyDescent="0.2">
      <c r="B18" s="39" t="s">
        <v>179</v>
      </c>
      <c r="C18" s="41">
        <f>Fångster!C18</f>
        <v>0</v>
      </c>
      <c r="D18" s="41">
        <f>Fångster!D18</f>
        <v>0</v>
      </c>
      <c r="E18" s="40" t="str">
        <f t="shared" si="8"/>
        <v/>
      </c>
      <c r="F18" s="5">
        <v>1</v>
      </c>
      <c r="H18" s="1">
        <v>1</v>
      </c>
      <c r="J18" s="1">
        <f t="shared" si="0"/>
        <v>0</v>
      </c>
      <c r="K18" s="1">
        <f t="shared" si="1"/>
        <v>0</v>
      </c>
      <c r="L18" s="1">
        <f t="shared" si="2"/>
        <v>0</v>
      </c>
      <c r="M18" s="1">
        <f t="shared" si="3"/>
        <v>0</v>
      </c>
      <c r="N18" s="1">
        <f t="shared" si="4"/>
        <v>0</v>
      </c>
      <c r="O18" s="1">
        <f t="shared" si="4"/>
        <v>0</v>
      </c>
      <c r="P18" s="1"/>
      <c r="Q18" s="1"/>
      <c r="R18" s="1">
        <f t="shared" si="6"/>
        <v>0</v>
      </c>
      <c r="U18" t="s">
        <v>40</v>
      </c>
      <c r="X18" s="1">
        <f>COUNTIF(J7:J59,"&gt;0")</f>
        <v>0</v>
      </c>
      <c r="Y18" s="1"/>
      <c r="Z18" s="1" t="e">
        <f t="shared" si="7"/>
        <v>#DIV/0!</v>
      </c>
      <c r="AB18" s="1" t="s">
        <v>49</v>
      </c>
      <c r="AC18" s="1" t="str">
        <f>IF(AC17="&lt;01 (1)",1,IF(AC17="&lt;05 (2)",2,IF(AC17="&lt;10 (3)",3,IF(AC17="&gt;10 (4)",4,IF(AC17="","",IF(AC17=-9,"",""))))))</f>
        <v/>
      </c>
      <c r="AD18" s="1"/>
      <c r="AE18" s="1" t="s">
        <v>115</v>
      </c>
      <c r="AF18" s="1" t="e">
        <f>1.48136688396524+(0.608063038235814*AC23)+(-0.283834492743044*AC38)+(-0.297584990807304*AC39)+(-0.363693654960169*AC40)</f>
        <v>#VALUE!</v>
      </c>
      <c r="AG18" s="1"/>
      <c r="AH18" s="1" t="s">
        <v>151</v>
      </c>
      <c r="AI18" s="1" t="e">
        <f>NORMSDIST(AF46)</f>
        <v>#VALUE!</v>
      </c>
      <c r="AK18" t="s">
        <v>211</v>
      </c>
      <c r="AL18" s="1" t="e">
        <f>POWER(10,AF12)-1</f>
        <v>#VALUE!</v>
      </c>
      <c r="AM18" s="1"/>
      <c r="AN18" s="1"/>
      <c r="AO18" s="1"/>
      <c r="AP18" s="1"/>
      <c r="AQ18" s="1"/>
      <c r="AR18" s="1"/>
    </row>
    <row r="19" spans="2:44" ht="15" customHeight="1" x14ac:dyDescent="0.25">
      <c r="B19" s="39" t="s">
        <v>180</v>
      </c>
      <c r="C19" s="41">
        <f>Fångster!C19</f>
        <v>0</v>
      </c>
      <c r="D19" s="41">
        <f>Fångster!D19</f>
        <v>0</v>
      </c>
      <c r="E19" s="40" t="str">
        <f t="shared" si="8"/>
        <v/>
      </c>
      <c r="F19" s="5">
        <v>1</v>
      </c>
      <c r="H19" s="1">
        <v>1</v>
      </c>
      <c r="J19" s="1">
        <f t="shared" si="0"/>
        <v>0</v>
      </c>
      <c r="K19" s="1">
        <f t="shared" si="1"/>
        <v>0</v>
      </c>
      <c r="L19" s="1">
        <f t="shared" si="2"/>
        <v>0</v>
      </c>
      <c r="M19" s="1">
        <f t="shared" si="3"/>
        <v>0</v>
      </c>
      <c r="N19" s="1">
        <f t="shared" si="4"/>
        <v>0</v>
      </c>
      <c r="O19" s="1">
        <f t="shared" si="4"/>
        <v>0</v>
      </c>
      <c r="P19" s="1"/>
      <c r="Q19" s="1"/>
      <c r="R19" s="1">
        <f t="shared" si="6"/>
        <v>0</v>
      </c>
      <c r="X19" s="1"/>
      <c r="Y19" s="1"/>
      <c r="Z19" s="1" t="e">
        <f t="shared" si="7"/>
        <v>#DIV/0!</v>
      </c>
      <c r="AB19" s="1" t="s">
        <v>63</v>
      </c>
      <c r="AC19" s="1" t="e">
        <f>IF(AC18&gt;0,LOG10(AC18+1),"")</f>
        <v>#VALUE!</v>
      </c>
      <c r="AD19" s="1"/>
      <c r="AE19" s="1" t="s">
        <v>116</v>
      </c>
      <c r="AF19" s="1" t="e">
        <f>AC8-AF18</f>
        <v>#VALUE!</v>
      </c>
      <c r="AG19" s="1"/>
      <c r="AH19" s="1" t="s">
        <v>152</v>
      </c>
      <c r="AI19" s="1" t="e">
        <f>1-NORMSDIST(AF32)</f>
        <v>#VALUE!</v>
      </c>
      <c r="AK19" t="s">
        <v>212</v>
      </c>
      <c r="AL19" s="1" t="e">
        <f>POWER(10,AF15)-1</f>
        <v>#VALUE!</v>
      </c>
      <c r="AM19" s="1"/>
      <c r="AN19" s="1"/>
      <c r="AO19" s="1"/>
      <c r="AP19" s="1"/>
      <c r="AQ19" s="2" t="s">
        <v>245</v>
      </c>
      <c r="AR19" s="1" t="str">
        <f>IF(OR(AO7=2,AO7=3)*AND(AI46&lt;0.1),"Gränsfall mellan god och måttlig status","")</f>
        <v/>
      </c>
    </row>
    <row r="20" spans="2:44" ht="15" customHeight="1" x14ac:dyDescent="0.2">
      <c r="B20" s="39" t="s">
        <v>181</v>
      </c>
      <c r="C20" s="41">
        <f>Fångster!C20</f>
        <v>0</v>
      </c>
      <c r="D20" s="41">
        <f>Fångster!D20</f>
        <v>0</v>
      </c>
      <c r="E20" s="40" t="str">
        <f t="shared" si="8"/>
        <v/>
      </c>
      <c r="F20" s="5">
        <v>1</v>
      </c>
      <c r="H20" s="1">
        <v>1</v>
      </c>
      <c r="J20" s="1">
        <f t="shared" si="0"/>
        <v>0</v>
      </c>
      <c r="K20" s="1">
        <f t="shared" si="1"/>
        <v>0</v>
      </c>
      <c r="L20" s="1">
        <f t="shared" si="2"/>
        <v>0</v>
      </c>
      <c r="M20" s="1">
        <f t="shared" si="3"/>
        <v>0</v>
      </c>
      <c r="N20" s="1">
        <f t="shared" si="4"/>
        <v>0</v>
      </c>
      <c r="O20" s="1">
        <f t="shared" si="4"/>
        <v>0</v>
      </c>
      <c r="P20" s="1"/>
      <c r="Q20" s="1"/>
      <c r="R20" s="1">
        <f t="shared" si="6"/>
        <v>0</v>
      </c>
      <c r="U20" t="s">
        <v>39</v>
      </c>
      <c r="X20" s="1">
        <f>COUNTIF(K7:K59,"&gt;0")</f>
        <v>0</v>
      </c>
      <c r="Y20" s="1"/>
      <c r="Z20" s="1" t="e">
        <f t="shared" si="7"/>
        <v>#DIV/0!</v>
      </c>
      <c r="AB20" s="1" t="s">
        <v>51</v>
      </c>
      <c r="AC20" s="11" t="str">
        <f>IF(Metadata!C21&gt;0,Metadata!C21,"")</f>
        <v/>
      </c>
      <c r="AD20" s="1"/>
      <c r="AE20" s="1" t="s">
        <v>117</v>
      </c>
      <c r="AF20" s="1" t="e">
        <f>AF19/0.275562119479399</f>
        <v>#VALUE!</v>
      </c>
      <c r="AG20" s="1"/>
      <c r="AH20" s="1" t="s">
        <v>153</v>
      </c>
      <c r="AI20" s="1" t="e">
        <f>NORMSDIST(AF35)</f>
        <v>#VALUE!</v>
      </c>
      <c r="AK20" t="s">
        <v>85</v>
      </c>
      <c r="AL20" s="1" t="e">
        <f>IF(AC13=1,AL17,IF(AC13=2,AL18,IF(AC13=3,AL19,AL16)))</f>
        <v>#VALUE!</v>
      </c>
      <c r="AM20" s="1"/>
      <c r="AN20" s="1"/>
      <c r="AO20" s="1"/>
      <c r="AP20" s="1"/>
      <c r="AQ20" s="1"/>
      <c r="AR20" s="1"/>
    </row>
    <row r="21" spans="2:44" ht="15" customHeight="1" x14ac:dyDescent="0.2">
      <c r="B21" s="39" t="s">
        <v>15</v>
      </c>
      <c r="C21" s="41">
        <f>Fångster!C21</f>
        <v>0</v>
      </c>
      <c r="D21" s="41">
        <f>Fångster!D21</f>
        <v>0</v>
      </c>
      <c r="E21" s="40" t="str">
        <f t="shared" si="8"/>
        <v/>
      </c>
      <c r="F21" s="5"/>
      <c r="H21" s="1">
        <v>1</v>
      </c>
      <c r="J21" s="1">
        <f t="shared" si="0"/>
        <v>0</v>
      </c>
      <c r="K21" s="1">
        <f t="shared" si="1"/>
        <v>0</v>
      </c>
      <c r="L21" s="1">
        <f t="shared" si="2"/>
        <v>0</v>
      </c>
      <c r="M21" s="1">
        <f t="shared" si="3"/>
        <v>0</v>
      </c>
      <c r="N21" s="1">
        <f t="shared" si="4"/>
        <v>0</v>
      </c>
      <c r="O21" s="1">
        <f t="shared" si="4"/>
        <v>0</v>
      </c>
      <c r="P21" s="1"/>
      <c r="Q21" s="1"/>
      <c r="R21" s="1">
        <f t="shared" si="6"/>
        <v>0</v>
      </c>
      <c r="X21" s="1"/>
      <c r="Y21" s="1"/>
      <c r="Z21" s="1" t="e">
        <f t="shared" si="7"/>
        <v>#DIV/0!</v>
      </c>
      <c r="AB21" s="1" t="s">
        <v>52</v>
      </c>
      <c r="AC21" s="11" t="str">
        <f>IF(Metadata!C22&gt;0,Metadata!C22,"")</f>
        <v/>
      </c>
      <c r="AD21" s="1"/>
      <c r="AE21" s="1" t="s">
        <v>118</v>
      </c>
      <c r="AF21" s="1" t="e">
        <f>-2.25746644635226+(0.316070503148381*AC23)+(0.162264692931762*AC28)+(3.23905395336358*AC25)+(-0.717515111634254*AC41)+(-0.439563619560175*AC39)+(-0.14978411744718*AC35)</f>
        <v>#VALUE!</v>
      </c>
      <c r="AG21" s="1"/>
      <c r="AH21" s="1" t="s">
        <v>154</v>
      </c>
      <c r="AI21" s="1" t="str">
        <f>IF(AF38="","",NORMSDIST(AF38))</f>
        <v/>
      </c>
      <c r="AK21" t="s">
        <v>86</v>
      </c>
      <c r="AL21" s="1" t="e">
        <f>POWER(SIN(AF42),2)</f>
        <v>#VALUE!</v>
      </c>
      <c r="AM21" s="1"/>
      <c r="AN21" s="1"/>
      <c r="AO21" s="1"/>
      <c r="AP21" s="1"/>
      <c r="AQ21" s="1"/>
      <c r="AR21" s="1"/>
    </row>
    <row r="22" spans="2:44" ht="15" customHeight="1" x14ac:dyDescent="0.2">
      <c r="B22" s="39" t="s">
        <v>16</v>
      </c>
      <c r="C22" s="41">
        <f>Fångster!C22</f>
        <v>0</v>
      </c>
      <c r="D22" s="41">
        <f>Fångster!D22</f>
        <v>0</v>
      </c>
      <c r="E22" s="40" t="str">
        <f t="shared" si="8"/>
        <v/>
      </c>
      <c r="F22" s="5"/>
      <c r="J22" s="1">
        <f t="shared" si="0"/>
        <v>0</v>
      </c>
      <c r="K22" s="1">
        <f t="shared" si="1"/>
        <v>0</v>
      </c>
      <c r="L22" s="1">
        <f t="shared" si="2"/>
        <v>0</v>
      </c>
      <c r="M22" s="1">
        <f t="shared" si="3"/>
        <v>0</v>
      </c>
      <c r="N22" s="1">
        <f t="shared" si="4"/>
        <v>0</v>
      </c>
      <c r="O22" s="1">
        <f t="shared" si="4"/>
        <v>0</v>
      </c>
      <c r="P22" s="1"/>
      <c r="Q22" s="1"/>
      <c r="R22" s="1">
        <f t="shared" si="6"/>
        <v>0</v>
      </c>
      <c r="U22" t="s">
        <v>202</v>
      </c>
      <c r="X22" s="1">
        <f>COUNTIF(R7:R59,"&gt;0")</f>
        <v>0</v>
      </c>
      <c r="Y22" s="1"/>
      <c r="Z22" s="1" t="e">
        <f t="shared" si="7"/>
        <v>#DIV/0!</v>
      </c>
      <c r="AB22" s="1" t="s">
        <v>53</v>
      </c>
      <c r="AC22" s="1" t="str">
        <f>IF(OR(AC20="",AC21=""),"",MIN(AC20,AC21))</f>
        <v/>
      </c>
      <c r="AD22" s="1"/>
      <c r="AE22" s="1" t="s">
        <v>119</v>
      </c>
      <c r="AF22" s="1" t="e">
        <f>AC8-AF21</f>
        <v>#VALUE!</v>
      </c>
      <c r="AG22" s="1"/>
      <c r="AH22" s="1" t="s">
        <v>155</v>
      </c>
      <c r="AI22" s="1" t="e">
        <f>NORMSDIST(AF45)</f>
        <v>#VALUE!</v>
      </c>
      <c r="AK22" t="s">
        <v>213</v>
      </c>
      <c r="AL22" s="1" t="e">
        <f>POWER(SIN(AF18),2)</f>
        <v>#VALUE!</v>
      </c>
      <c r="AM22" s="1"/>
      <c r="AN22" s="1"/>
      <c r="AO22" s="1"/>
      <c r="AP22" s="1"/>
      <c r="AQ22" s="1"/>
      <c r="AR22" s="1"/>
    </row>
    <row r="23" spans="2:44" ht="15" customHeight="1" x14ac:dyDescent="0.2">
      <c r="B23" s="39" t="s">
        <v>182</v>
      </c>
      <c r="C23" s="41">
        <f>Fångster!C23</f>
        <v>0</v>
      </c>
      <c r="D23" s="41">
        <f>Fångster!D23</f>
        <v>0</v>
      </c>
      <c r="E23" s="40" t="str">
        <f t="shared" si="8"/>
        <v/>
      </c>
      <c r="F23" s="5"/>
      <c r="J23" s="1">
        <f t="shared" si="0"/>
        <v>0</v>
      </c>
      <c r="K23" s="1">
        <f t="shared" si="1"/>
        <v>0</v>
      </c>
      <c r="L23" s="1">
        <f t="shared" si="2"/>
        <v>0</v>
      </c>
      <c r="M23" s="1">
        <f t="shared" si="3"/>
        <v>0</v>
      </c>
      <c r="N23" s="1">
        <f t="shared" si="4"/>
        <v>0</v>
      </c>
      <c r="O23" s="1">
        <f t="shared" si="4"/>
        <v>0</v>
      </c>
      <c r="P23" s="1"/>
      <c r="Q23" s="1"/>
      <c r="R23" s="1">
        <f t="shared" si="6"/>
        <v>0</v>
      </c>
      <c r="X23" s="1"/>
      <c r="Y23" s="1"/>
      <c r="Z23" s="1" t="e">
        <f t="shared" si="7"/>
        <v>#DIV/0!</v>
      </c>
      <c r="AB23" s="1" t="s">
        <v>64</v>
      </c>
      <c r="AC23" s="1" t="e">
        <f>IF(AC22&gt;0,LOG10(AC22+1),"")</f>
        <v>#VALUE!</v>
      </c>
      <c r="AD23" s="1"/>
      <c r="AE23" s="1" t="s">
        <v>120</v>
      </c>
      <c r="AF23" s="1" t="e">
        <f>AF22/0.25674764263209</f>
        <v>#VALUE!</v>
      </c>
      <c r="AG23" s="1"/>
      <c r="AH23" s="1" t="s">
        <v>156</v>
      </c>
      <c r="AI23" s="1" t="e">
        <f>NORMSDIST(AF46)</f>
        <v>#VALUE!</v>
      </c>
      <c r="AK23" t="s">
        <v>214</v>
      </c>
      <c r="AL23" s="1" t="e">
        <f>POWER(SIN(AF21),2)</f>
        <v>#VALUE!</v>
      </c>
      <c r="AM23" s="1"/>
      <c r="AN23" s="1"/>
      <c r="AO23" s="1"/>
      <c r="AP23" s="1"/>
      <c r="AQ23" s="1"/>
      <c r="AR23" s="1"/>
    </row>
    <row r="24" spans="2:44" ht="15" customHeight="1" x14ac:dyDescent="0.2">
      <c r="B24" s="39" t="s">
        <v>183</v>
      </c>
      <c r="C24" s="41">
        <f>Fångster!C24</f>
        <v>0</v>
      </c>
      <c r="D24" s="41">
        <f>Fångster!D24</f>
        <v>0</v>
      </c>
      <c r="E24" s="40" t="str">
        <f t="shared" si="8"/>
        <v/>
      </c>
      <c r="F24" s="5"/>
      <c r="H24" s="1">
        <v>1</v>
      </c>
      <c r="J24" s="1">
        <f t="shared" si="0"/>
        <v>0</v>
      </c>
      <c r="K24" s="1">
        <f t="shared" si="1"/>
        <v>0</v>
      </c>
      <c r="L24" s="1">
        <f t="shared" si="2"/>
        <v>0</v>
      </c>
      <c r="M24" s="1">
        <f t="shared" si="3"/>
        <v>0</v>
      </c>
      <c r="N24" s="1">
        <f t="shared" si="4"/>
        <v>0</v>
      </c>
      <c r="O24" s="1">
        <f t="shared" si="4"/>
        <v>0</v>
      </c>
      <c r="P24" s="1"/>
      <c r="Q24" s="1"/>
      <c r="R24" s="1">
        <f t="shared" si="6"/>
        <v>0</v>
      </c>
      <c r="U24" t="s">
        <v>353</v>
      </c>
      <c r="X24" s="1">
        <f>IF(X22&gt;0,X20/X22,0)</f>
        <v>0</v>
      </c>
      <c r="Y24" s="1"/>
      <c r="Z24" s="1" t="e">
        <f t="shared" si="7"/>
        <v>#DIV/0!</v>
      </c>
      <c r="AB24" s="1" t="s">
        <v>54</v>
      </c>
      <c r="AC24" s="10" t="str">
        <f>IF(Metadata!C18&gt;0,Metadata!C18,"")</f>
        <v/>
      </c>
      <c r="AD24" s="1"/>
      <c r="AE24" s="1" t="s">
        <v>121</v>
      </c>
      <c r="AF24" s="1" t="e">
        <f>1.64835175271255+(-0.674694495943321*AC39)</f>
        <v>#VALUE!</v>
      </c>
      <c r="AG24" s="1"/>
      <c r="AH24" s="1" t="s">
        <v>157</v>
      </c>
      <c r="AI24" s="1" t="e">
        <f>NORMSDIST(AF35)</f>
        <v>#VALUE!</v>
      </c>
      <c r="AK24" t="s">
        <v>215</v>
      </c>
      <c r="AL24" s="1" t="e">
        <f>POWER(SIN(AF24),2)</f>
        <v>#VALUE!</v>
      </c>
      <c r="AM24" s="1"/>
      <c r="AN24" s="1"/>
      <c r="AO24" s="1"/>
      <c r="AP24" s="1"/>
      <c r="AQ24" s="1"/>
    </row>
    <row r="25" spans="2:44" ht="15" customHeight="1" x14ac:dyDescent="0.2">
      <c r="B25" s="39" t="s">
        <v>10</v>
      </c>
      <c r="C25" s="41">
        <f>Fångster!C25</f>
        <v>0</v>
      </c>
      <c r="D25" s="41">
        <f>Fångster!D25</f>
        <v>0</v>
      </c>
      <c r="E25" s="40" t="str">
        <f t="shared" si="8"/>
        <v/>
      </c>
      <c r="F25" s="5"/>
      <c r="J25" s="1">
        <f t="shared" si="0"/>
        <v>0</v>
      </c>
      <c r="K25" s="1">
        <f t="shared" si="1"/>
        <v>0</v>
      </c>
      <c r="L25" s="1">
        <f t="shared" si="2"/>
        <v>0</v>
      </c>
      <c r="M25" s="1">
        <f t="shared" si="3"/>
        <v>0</v>
      </c>
      <c r="N25" s="1">
        <f t="shared" si="4"/>
        <v>0</v>
      </c>
      <c r="O25" s="1">
        <f t="shared" si="4"/>
        <v>0</v>
      </c>
      <c r="P25" s="1"/>
      <c r="Q25" s="1"/>
      <c r="R25" s="1">
        <f t="shared" si="6"/>
        <v>0</v>
      </c>
      <c r="X25" s="1"/>
      <c r="Y25" s="1"/>
      <c r="Z25" s="1" t="e">
        <f t="shared" si="7"/>
        <v>#DIV/0!</v>
      </c>
      <c r="AB25" s="1" t="s">
        <v>65</v>
      </c>
      <c r="AC25" s="1" t="e">
        <f>IF(AC24&gt;0,LOG10(AC24+1),"")</f>
        <v>#VALUE!</v>
      </c>
      <c r="AD25" s="1"/>
      <c r="AE25" s="1" t="s">
        <v>122</v>
      </c>
      <c r="AF25" s="1" t="e">
        <f>AC8-AF24</f>
        <v>#VALUE!</v>
      </c>
      <c r="AG25" s="1"/>
      <c r="AH25" s="1" t="s">
        <v>158</v>
      </c>
      <c r="AI25" s="1" t="str">
        <f>IF(AF38="","",NORMSDIST(AF38))</f>
        <v/>
      </c>
      <c r="AK25" t="s">
        <v>216</v>
      </c>
      <c r="AL25" s="1">
        <f>POWER(SIN(AF27),2)</f>
        <v>0.99964353602166756</v>
      </c>
      <c r="AM25" s="1"/>
      <c r="AN25" s="1"/>
      <c r="AO25" s="1"/>
      <c r="AP25" s="1"/>
      <c r="AR25" s="1"/>
    </row>
    <row r="26" spans="2:44" ht="15" customHeight="1" x14ac:dyDescent="0.2">
      <c r="B26" s="39" t="s">
        <v>24</v>
      </c>
      <c r="C26" s="41">
        <f>Fångster!C26</f>
        <v>0</v>
      </c>
      <c r="D26" s="41">
        <f>Fångster!D26</f>
        <v>0</v>
      </c>
      <c r="E26" s="40" t="str">
        <f t="shared" si="8"/>
        <v/>
      </c>
      <c r="F26" s="5"/>
      <c r="J26" s="1">
        <f t="shared" si="0"/>
        <v>0</v>
      </c>
      <c r="K26" s="1">
        <f t="shared" si="1"/>
        <v>0</v>
      </c>
      <c r="L26" s="1">
        <f t="shared" si="2"/>
        <v>0</v>
      </c>
      <c r="M26" s="1">
        <f t="shared" si="3"/>
        <v>0</v>
      </c>
      <c r="N26" s="1">
        <f t="shared" si="4"/>
        <v>0</v>
      </c>
      <c r="O26" s="1">
        <f t="shared" si="4"/>
        <v>0</v>
      </c>
      <c r="P26" s="1"/>
      <c r="Q26" s="1"/>
      <c r="R26" s="1">
        <f t="shared" si="6"/>
        <v>0</v>
      </c>
      <c r="U26" t="s">
        <v>354</v>
      </c>
      <c r="X26" s="1">
        <f>IF(X22&gt;0,X18/X22,0)</f>
        <v>0</v>
      </c>
      <c r="Y26" s="1"/>
      <c r="Z26" s="1" t="e">
        <f t="shared" si="7"/>
        <v>#DIV/0!</v>
      </c>
      <c r="AB26" s="1" t="s">
        <v>66</v>
      </c>
      <c r="AC26" s="1" t="str">
        <f>IF(Metadata!C23&gt;0,Metadata!C23,"")</f>
        <v/>
      </c>
      <c r="AD26" s="1"/>
      <c r="AE26" s="1" t="s">
        <v>123</v>
      </c>
      <c r="AF26" s="1" t="e">
        <f>AF25/0.339792643922404</f>
        <v>#VALUE!</v>
      </c>
      <c r="AG26" s="1"/>
      <c r="AH26" s="1" t="s">
        <v>159</v>
      </c>
      <c r="AI26" s="1" t="e">
        <f>NORMSDIST(AF45)</f>
        <v>#VALUE!</v>
      </c>
      <c r="AK26" t="s">
        <v>87</v>
      </c>
      <c r="AL26" s="1" t="e">
        <f>IF(AC13=1,AL23,AL22)</f>
        <v>#VALUE!</v>
      </c>
      <c r="AM26" s="1"/>
      <c r="AR26" s="1"/>
    </row>
    <row r="27" spans="2:44" ht="15" customHeight="1" x14ac:dyDescent="0.2">
      <c r="B27" s="39" t="s">
        <v>14</v>
      </c>
      <c r="C27" s="41">
        <f>Fångster!C27</f>
        <v>0</v>
      </c>
      <c r="D27" s="41">
        <f>Fångster!D27</f>
        <v>0</v>
      </c>
      <c r="E27" s="40" t="str">
        <f t="shared" si="8"/>
        <v/>
      </c>
      <c r="F27" s="5">
        <v>1</v>
      </c>
      <c r="H27" s="1">
        <v>1</v>
      </c>
      <c r="J27" s="1">
        <f t="shared" si="0"/>
        <v>0</v>
      </c>
      <c r="K27" s="1">
        <f t="shared" si="1"/>
        <v>0</v>
      </c>
      <c r="L27" s="1">
        <f t="shared" si="2"/>
        <v>0</v>
      </c>
      <c r="M27" s="1">
        <f t="shared" si="3"/>
        <v>0</v>
      </c>
      <c r="N27" s="1">
        <f t="shared" si="4"/>
        <v>0</v>
      </c>
      <c r="O27" s="1">
        <f t="shared" si="4"/>
        <v>0</v>
      </c>
      <c r="P27" s="1">
        <f t="shared" si="9"/>
        <v>0</v>
      </c>
      <c r="Q27" s="1">
        <f>IF(D27&gt;0,1,0)</f>
        <v>0</v>
      </c>
      <c r="R27" s="1">
        <f t="shared" si="6"/>
        <v>0</v>
      </c>
      <c r="X27" s="1"/>
      <c r="Y27" s="1"/>
      <c r="Z27" s="1" t="e">
        <f t="shared" si="7"/>
        <v>#DIV/0!</v>
      </c>
      <c r="AB27" s="1" t="s">
        <v>67</v>
      </c>
      <c r="AC27" s="1" t="e">
        <f>AC26*10</f>
        <v>#VALUE!</v>
      </c>
      <c r="AD27" s="1"/>
      <c r="AE27" s="1" t="s">
        <v>124</v>
      </c>
      <c r="AF27" s="1">
        <f>1.55191495126478+(-0.136214981950556*AC43)</f>
        <v>1.5519149512647801</v>
      </c>
      <c r="AG27" s="1"/>
      <c r="AH27" s="1" t="s">
        <v>160</v>
      </c>
      <c r="AI27" s="1" t="e">
        <f>1-NORMSDIST(AF44)</f>
        <v>#VALUE!</v>
      </c>
      <c r="AK27" t="s">
        <v>88</v>
      </c>
      <c r="AL27" s="1" t="e">
        <f>POWER(SIN(AF30),2)</f>
        <v>#VALUE!</v>
      </c>
      <c r="AM27" s="1"/>
      <c r="AR27" s="1"/>
    </row>
    <row r="28" spans="2:44" ht="15" customHeight="1" x14ac:dyDescent="0.2">
      <c r="B28" s="39" t="s">
        <v>184</v>
      </c>
      <c r="C28" s="41">
        <f>Fångster!C28</f>
        <v>0</v>
      </c>
      <c r="D28" s="41">
        <f>Fångster!D28</f>
        <v>0</v>
      </c>
      <c r="E28" s="40" t="str">
        <f t="shared" si="8"/>
        <v/>
      </c>
      <c r="F28" s="5">
        <v>1</v>
      </c>
      <c r="H28" s="1">
        <v>1</v>
      </c>
      <c r="J28" s="1">
        <f t="shared" si="0"/>
        <v>0</v>
      </c>
      <c r="K28" s="1">
        <f t="shared" si="1"/>
        <v>0</v>
      </c>
      <c r="L28" s="1">
        <f t="shared" si="2"/>
        <v>0</v>
      </c>
      <c r="M28" s="1">
        <f t="shared" si="3"/>
        <v>0</v>
      </c>
      <c r="N28" s="1">
        <f t="shared" si="4"/>
        <v>0</v>
      </c>
      <c r="O28" s="1">
        <f t="shared" si="4"/>
        <v>0</v>
      </c>
      <c r="P28" s="1"/>
      <c r="Q28" s="1"/>
      <c r="R28" s="1">
        <f t="shared" si="6"/>
        <v>0</v>
      </c>
      <c r="U28" t="s">
        <v>352</v>
      </c>
      <c r="X28" s="1">
        <f>IF(X8&gt;0,X16/X8,0)</f>
        <v>0</v>
      </c>
      <c r="Y28" s="1"/>
      <c r="Z28" s="1" t="e">
        <f t="shared" si="7"/>
        <v>#DIV/0!</v>
      </c>
      <c r="AB28" s="1" t="s">
        <v>68</v>
      </c>
      <c r="AC28" s="1" t="e">
        <f>IF(AC27&gt;0,LOG10(AC27+1),"")</f>
        <v>#VALUE!</v>
      </c>
      <c r="AD28" s="1"/>
      <c r="AE28" s="1" t="s">
        <v>125</v>
      </c>
      <c r="AF28" s="1">
        <f>AC8-AF27</f>
        <v>-1.5519149512647801</v>
      </c>
      <c r="AG28" s="1"/>
      <c r="AH28" s="1" t="s">
        <v>161</v>
      </c>
      <c r="AI28" s="1" t="e">
        <f>2*NORMSDIST(-ABS(AF32))</f>
        <v>#VALUE!</v>
      </c>
      <c r="AK28" t="s">
        <v>89</v>
      </c>
      <c r="AL28" s="1" t="e">
        <f>POWER(SIN(AF33),2)</f>
        <v>#VALUE!</v>
      </c>
      <c r="AM28" s="1"/>
      <c r="AN28" s="1"/>
      <c r="AR28" s="1"/>
    </row>
    <row r="29" spans="2:44" ht="15" customHeight="1" x14ac:dyDescent="0.2">
      <c r="B29" s="39" t="s">
        <v>185</v>
      </c>
      <c r="C29" s="41">
        <f>Fångster!C29</f>
        <v>0</v>
      </c>
      <c r="D29" s="41">
        <f>Fångster!D29</f>
        <v>0</v>
      </c>
      <c r="E29" s="40" t="str">
        <f t="shared" si="8"/>
        <v/>
      </c>
      <c r="F29" s="5"/>
      <c r="H29" s="1">
        <v>1</v>
      </c>
      <c r="J29" s="1">
        <f t="shared" si="0"/>
        <v>0</v>
      </c>
      <c r="K29" s="1">
        <f t="shared" si="1"/>
        <v>0</v>
      </c>
      <c r="L29" s="1">
        <f t="shared" si="2"/>
        <v>0</v>
      </c>
      <c r="M29" s="1">
        <f t="shared" si="3"/>
        <v>0</v>
      </c>
      <c r="N29" s="1">
        <f t="shared" si="4"/>
        <v>0</v>
      </c>
      <c r="O29" s="1">
        <f t="shared" si="4"/>
        <v>0</v>
      </c>
      <c r="P29" s="1"/>
      <c r="Q29" s="1"/>
      <c r="R29" s="1">
        <f t="shared" si="6"/>
        <v>0</v>
      </c>
      <c r="X29" s="1"/>
      <c r="Y29" s="1"/>
      <c r="Z29" s="1" t="e">
        <f t="shared" si="7"/>
        <v>#DIV/0!</v>
      </c>
      <c r="AB29" s="1" t="s">
        <v>69</v>
      </c>
      <c r="AC29" s="1">
        <f>IF(Metadata!C26&gt;-9,Metadata!C26,"")</f>
        <v>0</v>
      </c>
      <c r="AD29" s="1"/>
      <c r="AE29" s="1" t="s">
        <v>126</v>
      </c>
      <c r="AF29" s="1">
        <f>AF28/0.141661256748146</f>
        <v>-10.955112123732382</v>
      </c>
      <c r="AG29" s="1"/>
      <c r="AH29" s="1" t="s">
        <v>247</v>
      </c>
      <c r="AI29" s="1" t="e">
        <f>2*NORMSDIST(-ABS(AF41))</f>
        <v>#DIV/0!</v>
      </c>
      <c r="AK29" t="s">
        <v>90</v>
      </c>
      <c r="AL29" s="1" t="e">
        <f>POWER(SIN(AF36),2)</f>
        <v>#VALUE!</v>
      </c>
      <c r="AM29" s="1"/>
      <c r="AN29" s="1"/>
      <c r="AO29" s="1"/>
      <c r="AP29" s="1"/>
      <c r="AR29" s="1"/>
    </row>
    <row r="30" spans="2:44" ht="15" customHeight="1" x14ac:dyDescent="0.2">
      <c r="B30" s="39" t="s">
        <v>17</v>
      </c>
      <c r="C30" s="41">
        <f>Fångster!C30</f>
        <v>0</v>
      </c>
      <c r="D30" s="41">
        <f>Fångster!D30</f>
        <v>0</v>
      </c>
      <c r="E30" s="40" t="str">
        <f t="shared" si="8"/>
        <v/>
      </c>
      <c r="F30" s="5"/>
      <c r="H30" s="1">
        <v>1</v>
      </c>
      <c r="J30" s="1">
        <f t="shared" si="0"/>
        <v>0</v>
      </c>
      <c r="K30" s="1">
        <f t="shared" si="1"/>
        <v>0</v>
      </c>
      <c r="L30" s="1">
        <f t="shared" si="2"/>
        <v>0</v>
      </c>
      <c r="M30" s="1">
        <f t="shared" si="3"/>
        <v>0</v>
      </c>
      <c r="N30" s="1">
        <f t="shared" si="4"/>
        <v>0</v>
      </c>
      <c r="O30" s="1">
        <f t="shared" si="4"/>
        <v>0</v>
      </c>
      <c r="P30" s="1"/>
      <c r="Q30" s="1"/>
      <c r="R30" s="1">
        <f t="shared" si="6"/>
        <v>0</v>
      </c>
      <c r="U30" t="s">
        <v>351</v>
      </c>
      <c r="X30" s="1">
        <f>IF(X8&gt;0,X12/X8,0)</f>
        <v>0</v>
      </c>
      <c r="Y30" s="1"/>
      <c r="Z30" s="1" t="e">
        <f t="shared" si="7"/>
        <v>#DIV/0!</v>
      </c>
      <c r="AB30" s="1" t="s">
        <v>70</v>
      </c>
      <c r="AC30" s="1">
        <f>IF(AC29&lt;0,-LOG10(ABS(AC29)+1),LOG10(ABS(AC29)+1))</f>
        <v>0</v>
      </c>
      <c r="AD30" s="1"/>
      <c r="AE30" s="1" t="s">
        <v>127</v>
      </c>
      <c r="AF30" s="1" t="e">
        <f>-0.380400842756924+(0.431248726997434*AC43)+(0.266174966773411*AC39)+(0.145774142611171*AC37)+(-0.569232915278076*AC23)+(0.453944805788116*AC40)</f>
        <v>#VALUE!</v>
      </c>
      <c r="AG30" s="1"/>
      <c r="AH30" s="1" t="s">
        <v>162</v>
      </c>
      <c r="AI30" s="1" t="e">
        <f>NORMSDIST(AF45)</f>
        <v>#VALUE!</v>
      </c>
      <c r="AK30" t="s">
        <v>92</v>
      </c>
      <c r="AL30" s="1" t="e">
        <f>POWER(SIN(AF39),2)</f>
        <v>#VALUE!</v>
      </c>
      <c r="AM30" s="1"/>
      <c r="AR30" s="1"/>
    </row>
    <row r="31" spans="2:44" ht="15" customHeight="1" x14ac:dyDescent="0.2">
      <c r="B31" s="39" t="s">
        <v>186</v>
      </c>
      <c r="C31" s="41">
        <f>Fångster!C31</f>
        <v>0</v>
      </c>
      <c r="D31" s="41">
        <f>Fångster!D31</f>
        <v>0</v>
      </c>
      <c r="E31" s="40" t="str">
        <f t="shared" si="8"/>
        <v/>
      </c>
      <c r="F31" s="5">
        <v>1</v>
      </c>
      <c r="H31" s="1">
        <v>1</v>
      </c>
      <c r="J31" s="1">
        <f t="shared" si="0"/>
        <v>0</v>
      </c>
      <c r="K31" s="1">
        <f t="shared" si="1"/>
        <v>0</v>
      </c>
      <c r="L31" s="1">
        <f t="shared" si="2"/>
        <v>0</v>
      </c>
      <c r="M31" s="1">
        <f t="shared" si="3"/>
        <v>0</v>
      </c>
      <c r="N31" s="1">
        <f t="shared" si="4"/>
        <v>0</v>
      </c>
      <c r="O31" s="1">
        <f t="shared" si="4"/>
        <v>0</v>
      </c>
      <c r="P31" s="1"/>
      <c r="Q31" s="1"/>
      <c r="R31" s="1">
        <f t="shared" si="6"/>
        <v>0</v>
      </c>
      <c r="X31" s="1"/>
      <c r="Y31" s="1"/>
      <c r="Z31" s="1" t="e">
        <f t="shared" si="7"/>
        <v>#DIV/0!</v>
      </c>
      <c r="AB31" s="1" t="s">
        <v>71</v>
      </c>
      <c r="AC31" s="1" t="str">
        <f>IF(Metadata!C27="","",Metadata!C27)</f>
        <v/>
      </c>
      <c r="AD31" s="1"/>
      <c r="AE31" s="1" t="s">
        <v>128</v>
      </c>
      <c r="AF31" s="1" t="e">
        <f>AC9-AF30</f>
        <v>#VALUE!</v>
      </c>
      <c r="AG31" s="1"/>
      <c r="AH31" s="1" t="s">
        <v>163</v>
      </c>
      <c r="AI31" s="1" t="e">
        <f>2*NORMSDIST(-ABS(AF44))</f>
        <v>#VALUE!</v>
      </c>
      <c r="AR31" s="1"/>
    </row>
    <row r="32" spans="2:44" ht="15" customHeight="1" x14ac:dyDescent="0.2">
      <c r="B32" s="39" t="s">
        <v>26</v>
      </c>
      <c r="C32" s="41">
        <f>Fångster!C32</f>
        <v>0</v>
      </c>
      <c r="D32" s="41">
        <f>Fångster!D32</f>
        <v>0</v>
      </c>
      <c r="E32" s="40" t="str">
        <f t="shared" si="8"/>
        <v/>
      </c>
      <c r="F32" s="5"/>
      <c r="G32" s="1">
        <v>1</v>
      </c>
      <c r="J32" s="1">
        <f t="shared" si="0"/>
        <v>0</v>
      </c>
      <c r="K32" s="1">
        <f t="shared" si="1"/>
        <v>0</v>
      </c>
      <c r="L32" s="1">
        <f t="shared" si="2"/>
        <v>0</v>
      </c>
      <c r="M32" s="1">
        <f t="shared" si="3"/>
        <v>0</v>
      </c>
      <c r="N32" s="1">
        <f t="shared" si="4"/>
        <v>0</v>
      </c>
      <c r="O32" s="1">
        <f t="shared" si="4"/>
        <v>0</v>
      </c>
      <c r="P32" s="1"/>
      <c r="Q32" s="1"/>
      <c r="R32" s="1">
        <f t="shared" si="6"/>
        <v>0</v>
      </c>
      <c r="U32" t="s">
        <v>91</v>
      </c>
      <c r="X32" s="1" t="e">
        <f>1-Z57</f>
        <v>#DIV/0!</v>
      </c>
      <c r="Y32" s="1"/>
      <c r="Z32" s="1" t="e">
        <f t="shared" si="7"/>
        <v>#DIV/0!</v>
      </c>
      <c r="AB32" s="1" t="s">
        <v>72</v>
      </c>
      <c r="AC32" s="1">
        <f>IF(AC31="2 - 4",3,IF(AC31="4 - 6",5,IF(AC31="6 - 8",7,IF(AC31="8 - 10",9,IF(AC31="10 - 11",10.5,IF(AC31="11 - 12",11.5,IF(AC31="12 - 13",12.5,IF(AC31="13 - 14",13.5,IF(AC31="14 - 15",14.5,IF(AC31="15 - 16",15.5,IF(AC31="16 - 17",16.5,-9)))))))))))</f>
        <v>-9</v>
      </c>
      <c r="AD32" s="1"/>
      <c r="AE32" s="1" t="s">
        <v>129</v>
      </c>
      <c r="AF32" s="1" t="e">
        <f>AF31/0.223461925388469</f>
        <v>#VALUE!</v>
      </c>
      <c r="AG32" s="1"/>
      <c r="AH32" s="1" t="s">
        <v>164</v>
      </c>
      <c r="AI32" s="1" t="e">
        <f>NORMSDIST(AF32)</f>
        <v>#VALUE!</v>
      </c>
      <c r="AN32" s="1"/>
      <c r="AR32" s="1"/>
    </row>
    <row r="33" spans="2:44" ht="15" customHeight="1" x14ac:dyDescent="0.2">
      <c r="B33" s="39" t="s">
        <v>187</v>
      </c>
      <c r="C33" s="41">
        <f>Fångster!C33</f>
        <v>0</v>
      </c>
      <c r="D33" s="41">
        <f>Fångster!D33</f>
        <v>0</v>
      </c>
      <c r="E33" s="40" t="str">
        <f t="shared" si="8"/>
        <v/>
      </c>
      <c r="F33" s="5"/>
      <c r="J33" s="1">
        <f t="shared" si="0"/>
        <v>0</v>
      </c>
      <c r="K33" s="1">
        <f t="shared" si="1"/>
        <v>0</v>
      </c>
      <c r="L33" s="1">
        <f t="shared" si="2"/>
        <v>0</v>
      </c>
      <c r="M33" s="1">
        <f t="shared" si="3"/>
        <v>0</v>
      </c>
      <c r="N33" s="1">
        <f t="shared" si="4"/>
        <v>0</v>
      </c>
      <c r="O33" s="1">
        <f t="shared" si="4"/>
        <v>0</v>
      </c>
      <c r="P33" s="1"/>
      <c r="Q33" s="1"/>
      <c r="R33" s="1"/>
      <c r="X33" s="1"/>
      <c r="Y33" s="1"/>
      <c r="Z33" s="1" t="e">
        <f t="shared" si="7"/>
        <v>#DIV/0!</v>
      </c>
      <c r="AB33" s="1" t="s">
        <v>73</v>
      </c>
      <c r="AC33" s="1" t="str">
        <f>IF(AC32&gt;0,LOG10(AC32+1),"")</f>
        <v/>
      </c>
      <c r="AD33" s="1"/>
      <c r="AE33" s="1" t="s">
        <v>130</v>
      </c>
      <c r="AF33" s="1" t="e">
        <f>1.67426269530821+(-0.427034404615515*AC19)+(-1.38320907643694*AC43)+(-0.0628567969967429*AC46)+(0.793575702496459*AC30)+(0.0807737895801519*AC42)+(0.193735148890397*AC23)+(-0.16013964560728*AC41)+(-0.535759053943157*AC38)+(0.44486062193445*AC25)</f>
        <v>#VALUE!</v>
      </c>
      <c r="AG33" s="1"/>
      <c r="AH33" s="1" t="s">
        <v>236</v>
      </c>
      <c r="AI33" s="1" t="e">
        <f>1-_xlfn.NORM.DIST(0.7492,AL12,AF47,TRUE)</f>
        <v>#VALUE!</v>
      </c>
      <c r="AN33" s="1"/>
      <c r="AR33" s="1"/>
    </row>
    <row r="34" spans="2:44" ht="15" customHeight="1" x14ac:dyDescent="0.2">
      <c r="B34" s="39" t="s">
        <v>201</v>
      </c>
      <c r="C34" s="41">
        <f>Fångster!C34</f>
        <v>0</v>
      </c>
      <c r="D34" s="41">
        <f>Fångster!D34</f>
        <v>0</v>
      </c>
      <c r="E34" s="40" t="str">
        <f t="shared" si="8"/>
        <v/>
      </c>
      <c r="F34" s="5"/>
      <c r="J34" s="1">
        <f t="shared" si="0"/>
        <v>0</v>
      </c>
      <c r="K34" s="1">
        <f t="shared" si="1"/>
        <v>0</v>
      </c>
      <c r="L34" s="1">
        <f t="shared" si="2"/>
        <v>0</v>
      </c>
      <c r="M34" s="1">
        <f t="shared" si="3"/>
        <v>0</v>
      </c>
      <c r="N34" s="1">
        <f t="shared" si="4"/>
        <v>0</v>
      </c>
      <c r="O34" s="1">
        <f t="shared" si="4"/>
        <v>0</v>
      </c>
      <c r="P34" s="1"/>
      <c r="Q34" s="1"/>
      <c r="R34" s="1"/>
      <c r="U34" t="s">
        <v>355</v>
      </c>
      <c r="X34" s="12" t="str">
        <f>IF(P60&gt;0,Q60/P60,"")</f>
        <v/>
      </c>
      <c r="Y34" s="1"/>
      <c r="Z34" s="1" t="e">
        <f t="shared" si="7"/>
        <v>#DIV/0!</v>
      </c>
      <c r="AB34" s="1" t="s">
        <v>0</v>
      </c>
      <c r="AC34" s="10" t="str">
        <f>IF(Metadata!C13&gt;0,Metadata!C13,"")</f>
        <v/>
      </c>
      <c r="AD34" s="1"/>
      <c r="AE34" s="1" t="s">
        <v>131</v>
      </c>
      <c r="AF34" s="1" t="e">
        <f>AC10-AF33</f>
        <v>#VALUE!</v>
      </c>
      <c r="AG34" s="1"/>
      <c r="AH34" s="1" t="s">
        <v>237</v>
      </c>
      <c r="AI34" s="1" t="e">
        <f>1-_xlfn.NORM.DIST(0.46675,AL12,AF47,TRUE)</f>
        <v>#VALUE!</v>
      </c>
      <c r="AN34" s="1"/>
    </row>
    <row r="35" spans="2:44" ht="15" customHeight="1" x14ac:dyDescent="0.2">
      <c r="B35" s="5" t="s">
        <v>438</v>
      </c>
      <c r="C35" s="41">
        <f>Fångster!C35</f>
        <v>0</v>
      </c>
      <c r="D35" s="41">
        <f>Fångster!D35</f>
        <v>0</v>
      </c>
      <c r="F35" s="1">
        <v>1</v>
      </c>
      <c r="H35" s="1">
        <v>1</v>
      </c>
      <c r="J35" s="1">
        <f t="shared" si="0"/>
        <v>0</v>
      </c>
      <c r="K35" s="1">
        <f t="shared" si="1"/>
        <v>0</v>
      </c>
      <c r="L35" s="1">
        <f t="shared" si="2"/>
        <v>0</v>
      </c>
      <c r="M35" s="1">
        <f t="shared" si="3"/>
        <v>0</v>
      </c>
      <c r="N35" s="1">
        <f t="shared" ref="N35:O50" si="10">IF(C35&lt;0,0,IF(C35="",0,C35))</f>
        <v>0</v>
      </c>
      <c r="O35" s="1">
        <f t="shared" si="10"/>
        <v>0</v>
      </c>
      <c r="X35" s="1"/>
      <c r="Y35" s="1"/>
      <c r="Z35" s="1" t="e">
        <f t="shared" ref="Z35:Z52" si="11">POWER(R36/$X$8,2)</f>
        <v>#DIV/0!</v>
      </c>
      <c r="AB35" s="1" t="s">
        <v>74</v>
      </c>
      <c r="AC35" s="1" t="e">
        <f>IF(AC34&gt;0,LOG10(AC34+1),"")</f>
        <v>#VALUE!</v>
      </c>
      <c r="AD35" s="1"/>
      <c r="AE35" s="1" t="s">
        <v>132</v>
      </c>
      <c r="AF35" s="1" t="e">
        <f>AF34/0.396569266432725</f>
        <v>#VALUE!</v>
      </c>
      <c r="AG35" s="1"/>
      <c r="AH35" s="1" t="s">
        <v>238</v>
      </c>
      <c r="AI35" s="1" t="e">
        <f>1-_xlfn.NORM.DIST(0.27403,AL12,AF47,TRUE)</f>
        <v>#VALUE!</v>
      </c>
    </row>
    <row r="36" spans="2:44" ht="15" customHeight="1" x14ac:dyDescent="0.2">
      <c r="B36" s="39" t="s">
        <v>20</v>
      </c>
      <c r="C36" s="41">
        <f>Fångster!C36</f>
        <v>0</v>
      </c>
      <c r="D36" s="41">
        <f>Fångster!D36</f>
        <v>0</v>
      </c>
      <c r="E36" s="40" t="str">
        <f t="shared" ref="E36:E53" si="12">IF(OR(C36&lt;0,D36&lt;0,C36="",D36=""),"Ska vara 0 eller positiva tal.","")</f>
        <v/>
      </c>
      <c r="F36" s="5"/>
      <c r="J36" s="1">
        <f>R36*F36</f>
        <v>0</v>
      </c>
      <c r="K36" s="1">
        <f>R36*G36</f>
        <v>0</v>
      </c>
      <c r="L36" s="1">
        <f>R36*I36</f>
        <v>0</v>
      </c>
      <c r="M36" s="1">
        <f>R36*H36</f>
        <v>0</v>
      </c>
      <c r="N36" s="1">
        <f t="shared" si="10"/>
        <v>0</v>
      </c>
      <c r="O36" s="1">
        <f t="shared" si="10"/>
        <v>0</v>
      </c>
      <c r="P36" s="1"/>
      <c r="Q36" s="1"/>
      <c r="R36" s="1">
        <f>N36+O36</f>
        <v>0</v>
      </c>
      <c r="U36" t="s">
        <v>203</v>
      </c>
      <c r="X36" s="1">
        <f>TRUNC((Metadata!C12-((TRUNC(Metadata!C12/10000))*10000))/100)</f>
        <v>0</v>
      </c>
      <c r="Y36" s="1"/>
      <c r="Z36" s="1" t="e">
        <f t="shared" si="11"/>
        <v>#DIV/0!</v>
      </c>
      <c r="AB36" s="1" t="s">
        <v>8</v>
      </c>
      <c r="AC36" s="11" t="str">
        <f>IF(Metadata!C14="","",Metadata!C14)</f>
        <v/>
      </c>
      <c r="AD36" s="1"/>
      <c r="AE36" s="1" t="s">
        <v>133</v>
      </c>
      <c r="AF36" s="1" t="e">
        <f>2.0105+(-2.14843555889678*AC16)</f>
        <v>#VALUE!</v>
      </c>
      <c r="AG36" s="1"/>
      <c r="AH36" s="1" t="s">
        <v>239</v>
      </c>
      <c r="AI36" s="1" t="e">
        <f>1-_xlfn.NORM.DIST(0.0813,AL12,AF47,TRUE)</f>
        <v>#VALUE!</v>
      </c>
    </row>
    <row r="37" spans="2:44" ht="15" customHeight="1" x14ac:dyDescent="0.2">
      <c r="B37" s="39" t="s">
        <v>13</v>
      </c>
      <c r="C37" s="41">
        <f>Fångster!C37</f>
        <v>0</v>
      </c>
      <c r="D37" s="41">
        <f>Fångster!D37</f>
        <v>0</v>
      </c>
      <c r="E37" s="40" t="str">
        <f t="shared" si="12"/>
        <v/>
      </c>
      <c r="F37" s="5"/>
      <c r="G37" s="1">
        <v>1</v>
      </c>
      <c r="J37" s="1">
        <f>R37*F37</f>
        <v>0</v>
      </c>
      <c r="K37" s="1">
        <f>R37*G37</f>
        <v>0</v>
      </c>
      <c r="L37" s="1">
        <f>R37*I37</f>
        <v>0</v>
      </c>
      <c r="M37" s="1">
        <f>R37*H37</f>
        <v>0</v>
      </c>
      <c r="N37" s="1">
        <f t="shared" si="10"/>
        <v>0</v>
      </c>
      <c r="O37" s="1">
        <f t="shared" si="10"/>
        <v>0</v>
      </c>
      <c r="P37" s="1"/>
      <c r="Q37" s="1"/>
      <c r="R37" s="1">
        <f>N37+O37</f>
        <v>0</v>
      </c>
      <c r="X37" s="1"/>
      <c r="Y37" s="1"/>
      <c r="Z37" s="1" t="e">
        <f t="shared" si="11"/>
        <v>#DIV/0!</v>
      </c>
      <c r="AB37" s="1" t="s">
        <v>75</v>
      </c>
      <c r="AC37" s="1" t="e">
        <f>IF(AC36&gt;0,LOG10(AC36+1),"")</f>
        <v>#VALUE!</v>
      </c>
      <c r="AD37" s="1"/>
      <c r="AE37" s="1" t="s">
        <v>134</v>
      </c>
      <c r="AF37" s="1" t="str">
        <f>IF(AC11="","",AC11-AF36)</f>
        <v/>
      </c>
      <c r="AG37" s="1"/>
      <c r="AH37" s="1" t="s">
        <v>240</v>
      </c>
      <c r="AI37" s="1">
        <v>1</v>
      </c>
    </row>
    <row r="38" spans="2:44" ht="15" customHeight="1" x14ac:dyDescent="0.2">
      <c r="B38" s="39" t="s">
        <v>188</v>
      </c>
      <c r="C38" s="41">
        <f>Fångster!C38</f>
        <v>0</v>
      </c>
      <c r="D38" s="41">
        <f>Fångster!D38</f>
        <v>0</v>
      </c>
      <c r="E38" s="40" t="str">
        <f t="shared" si="12"/>
        <v/>
      </c>
      <c r="F38" s="5">
        <v>1</v>
      </c>
      <c r="H38" s="1">
        <v>1</v>
      </c>
      <c r="J38" s="1">
        <f>R38*F38</f>
        <v>0</v>
      </c>
      <c r="K38" s="1">
        <f>R38*G38</f>
        <v>0</v>
      </c>
      <c r="L38" s="1">
        <f>R38*I38</f>
        <v>0</v>
      </c>
      <c r="M38" s="1">
        <f>R38*H38</f>
        <v>0</v>
      </c>
      <c r="N38" s="1">
        <f t="shared" si="10"/>
        <v>0</v>
      </c>
      <c r="O38" s="1">
        <f t="shared" si="10"/>
        <v>0</v>
      </c>
      <c r="P38" s="1"/>
      <c r="Q38" s="1"/>
      <c r="R38" s="1">
        <f>N38+O38</f>
        <v>0</v>
      </c>
      <c r="U38" t="s">
        <v>205</v>
      </c>
      <c r="X38" s="1" t="str">
        <f>IF(C34&gt;0,"Ja",IF(D34&gt;0,"Ja","Nej"))</f>
        <v>Nej</v>
      </c>
      <c r="Y38" s="1"/>
      <c r="Z38" s="1" t="e">
        <f t="shared" si="11"/>
        <v>#DIV/0!</v>
      </c>
      <c r="AB38" s="1" t="s">
        <v>76</v>
      </c>
      <c r="AC38" s="1" t="e">
        <f>POWER(AC16,2)</f>
        <v>#VALUE!</v>
      </c>
      <c r="AD38" s="1"/>
      <c r="AE38" s="1" t="s">
        <v>135</v>
      </c>
      <c r="AF38" s="1" t="str">
        <f>IF(AF37="","",AF37/0.718621435811026)</f>
        <v/>
      </c>
      <c r="AG38" s="1"/>
      <c r="AH38" s="1" t="s">
        <v>97</v>
      </c>
      <c r="AI38" s="1">
        <f>IF(X22=0,0,AI33)</f>
        <v>0</v>
      </c>
    </row>
    <row r="39" spans="2:44" ht="15" customHeight="1" x14ac:dyDescent="0.2">
      <c r="B39" s="39" t="s">
        <v>189</v>
      </c>
      <c r="C39" s="41">
        <f>Fångster!C39</f>
        <v>0</v>
      </c>
      <c r="D39" s="41">
        <f>Fångster!D39</f>
        <v>0</v>
      </c>
      <c r="E39" s="40" t="str">
        <f t="shared" si="12"/>
        <v/>
      </c>
      <c r="F39" s="5"/>
      <c r="J39" s="1">
        <f>R39*F39</f>
        <v>0</v>
      </c>
      <c r="K39" s="1">
        <f>R39*G39</f>
        <v>0</v>
      </c>
      <c r="L39" s="1">
        <f>R39*I39</f>
        <v>0</v>
      </c>
      <c r="M39" s="1">
        <f>R39*H39</f>
        <v>0</v>
      </c>
      <c r="N39" s="1">
        <f t="shared" si="10"/>
        <v>0</v>
      </c>
      <c r="O39" s="1">
        <f t="shared" si="10"/>
        <v>0</v>
      </c>
      <c r="P39" s="1"/>
      <c r="Q39" s="1"/>
      <c r="R39" s="1">
        <f>N39+O39</f>
        <v>0</v>
      </c>
      <c r="X39" s="1"/>
      <c r="Y39" s="1"/>
      <c r="Z39" s="1" t="e">
        <f t="shared" si="11"/>
        <v>#DIV/0!</v>
      </c>
      <c r="AB39" s="1" t="s">
        <v>77</v>
      </c>
      <c r="AC39" s="1" t="e">
        <f>POWER(AC19,2)</f>
        <v>#VALUE!</v>
      </c>
      <c r="AD39" s="1"/>
      <c r="AE39" s="1" t="s">
        <v>136</v>
      </c>
      <c r="AF39" s="1" t="e">
        <f>-1.90280668580514+(0.359663932576588*AC16)+(-0.0723165226265136*AC42)+(0.270232630085571*AC37)+(1.33821191193187*AC33)+(0.135583095711685*AC23)</f>
        <v>#VALUE!</v>
      </c>
      <c r="AG39" s="1"/>
      <c r="AH39" s="1" t="s">
        <v>98</v>
      </c>
      <c r="AI39" s="1">
        <f>IF(X22=0,0,AI34-AI38)</f>
        <v>0</v>
      </c>
    </row>
    <row r="40" spans="2:44" ht="15" customHeight="1" x14ac:dyDescent="0.2">
      <c r="B40" s="39" t="s">
        <v>27</v>
      </c>
      <c r="C40" s="41">
        <f>Fångster!C40</f>
        <v>0</v>
      </c>
      <c r="D40" s="41">
        <f>Fångster!D40</f>
        <v>0</v>
      </c>
      <c r="E40" s="40" t="str">
        <f t="shared" si="12"/>
        <v/>
      </c>
      <c r="F40" s="5"/>
      <c r="J40" s="1">
        <f>R40*F40</f>
        <v>0</v>
      </c>
      <c r="K40" s="1">
        <f>R40*G40</f>
        <v>0</v>
      </c>
      <c r="L40" s="1">
        <f>R40*I40</f>
        <v>0</v>
      </c>
      <c r="M40" s="1">
        <f>R40*H40</f>
        <v>0</v>
      </c>
      <c r="N40" s="1">
        <f t="shared" si="10"/>
        <v>0</v>
      </c>
      <c r="O40" s="1">
        <f t="shared" si="10"/>
        <v>0</v>
      </c>
      <c r="P40" s="1"/>
      <c r="Q40" s="1"/>
      <c r="R40" s="1">
        <f>N40+O40</f>
        <v>0</v>
      </c>
      <c r="U40" t="s">
        <v>217</v>
      </c>
      <c r="X40" s="1">
        <f>IF(X22&gt;0,X8/X22,0)</f>
        <v>0</v>
      </c>
      <c r="Y40" s="1"/>
      <c r="Z40" s="1" t="e">
        <f t="shared" si="11"/>
        <v>#DIV/0!</v>
      </c>
      <c r="AB40" s="1" t="s">
        <v>78</v>
      </c>
      <c r="AC40" s="1" t="e">
        <f>POWER(AC23,2)</f>
        <v>#VALUE!</v>
      </c>
      <c r="AD40" s="1"/>
      <c r="AE40" s="1" t="s">
        <v>137</v>
      </c>
      <c r="AF40" s="1" t="e">
        <f>AC12-AF39</f>
        <v>#DIV/0!</v>
      </c>
      <c r="AG40" s="1"/>
      <c r="AH40" s="1" t="s">
        <v>99</v>
      </c>
      <c r="AI40" s="1">
        <f>IF(X22=0,0,AI35-AI38-AI39)</f>
        <v>0</v>
      </c>
    </row>
    <row r="41" spans="2:44" ht="15" customHeight="1" x14ac:dyDescent="0.2">
      <c r="B41" s="39" t="s">
        <v>190</v>
      </c>
      <c r="C41" s="41">
        <f>Fångster!C41</f>
        <v>0</v>
      </c>
      <c r="D41" s="41">
        <f>Fångster!D41</f>
        <v>0</v>
      </c>
      <c r="E41" s="40" t="str">
        <f t="shared" si="12"/>
        <v/>
      </c>
      <c r="F41" s="5"/>
      <c r="H41" s="1">
        <v>1</v>
      </c>
      <c r="J41" s="1">
        <f t="shared" ref="J41:J58" si="13">R41*F41</f>
        <v>0</v>
      </c>
      <c r="K41" s="1">
        <f t="shared" ref="K41:K58" si="14">R41*G41</f>
        <v>0</v>
      </c>
      <c r="L41" s="1">
        <f t="shared" ref="L41:L58" si="15">R41*I41</f>
        <v>0</v>
      </c>
      <c r="M41" s="1">
        <f t="shared" ref="M41:M58" si="16">R41*H41</f>
        <v>0</v>
      </c>
      <c r="N41" s="1">
        <f t="shared" si="10"/>
        <v>0</v>
      </c>
      <c r="O41" s="1">
        <f t="shared" si="10"/>
        <v>0</v>
      </c>
      <c r="P41" s="1"/>
      <c r="Q41" s="1"/>
      <c r="R41" s="1">
        <f t="shared" ref="R41:R58" si="17">N41+O41</f>
        <v>0</v>
      </c>
      <c r="X41" s="1"/>
      <c r="Y41" s="1"/>
      <c r="Z41" s="1" t="e">
        <f t="shared" si="11"/>
        <v>#DIV/0!</v>
      </c>
      <c r="AB41" s="1" t="s">
        <v>79</v>
      </c>
      <c r="AC41" s="1" t="e">
        <f>POWER(AC25,2)</f>
        <v>#VALUE!</v>
      </c>
      <c r="AD41" s="1"/>
      <c r="AE41" s="1" t="s">
        <v>138</v>
      </c>
      <c r="AF41" s="1" t="e">
        <f>AF40/0.286128657049128</f>
        <v>#DIV/0!</v>
      </c>
      <c r="AG41" s="1"/>
      <c r="AH41" s="1" t="s">
        <v>100</v>
      </c>
      <c r="AI41" s="1">
        <f>IF(X22=0,0,AI36-AI40-AI39-AI38)</f>
        <v>0</v>
      </c>
    </row>
    <row r="42" spans="2:44" ht="15" customHeight="1" x14ac:dyDescent="0.2">
      <c r="B42" s="39" t="s">
        <v>21</v>
      </c>
      <c r="C42" s="41">
        <f>Fångster!C42</f>
        <v>0</v>
      </c>
      <c r="D42" s="41">
        <f>Fångster!D42</f>
        <v>0</v>
      </c>
      <c r="E42" s="40" t="str">
        <f t="shared" si="12"/>
        <v/>
      </c>
      <c r="F42" s="5"/>
      <c r="G42" s="1">
        <v>1</v>
      </c>
      <c r="J42" s="1">
        <f t="shared" si="13"/>
        <v>0</v>
      </c>
      <c r="K42" s="1">
        <f t="shared" si="14"/>
        <v>0</v>
      </c>
      <c r="L42" s="1">
        <f t="shared" si="15"/>
        <v>0</v>
      </c>
      <c r="M42" s="1">
        <f t="shared" si="16"/>
        <v>0</v>
      </c>
      <c r="N42" s="1">
        <f t="shared" si="10"/>
        <v>0</v>
      </c>
      <c r="O42" s="1">
        <f t="shared" si="10"/>
        <v>0</v>
      </c>
      <c r="P42" s="1"/>
      <c r="Q42" s="1"/>
      <c r="R42" s="1">
        <f t="shared" si="17"/>
        <v>0</v>
      </c>
      <c r="U42" t="s">
        <v>94</v>
      </c>
      <c r="X42" s="1" t="str">
        <f>IF(X22=0,"Ja","Nej")</f>
        <v>Ja</v>
      </c>
      <c r="Y42" s="1"/>
      <c r="Z42" s="1" t="e">
        <f t="shared" si="11"/>
        <v>#DIV/0!</v>
      </c>
      <c r="AB42" s="1" t="s">
        <v>80</v>
      </c>
      <c r="AC42" s="1" t="e">
        <f>POWER(AC28,2)</f>
        <v>#VALUE!</v>
      </c>
      <c r="AD42" s="1"/>
      <c r="AE42" s="1" t="s">
        <v>139</v>
      </c>
      <c r="AF42" s="1" t="e">
        <f>-0.0941070768686158+(0.139626153371958*AC43)+(0.114878177940807*AC39)+(0.406495241079475*AC16)+(-0.369001239380415*AC23)+(0.262304099047311*AC40)+(-0.0637244672275599*AC35)</f>
        <v>#VALUE!</v>
      </c>
      <c r="AG42" s="1"/>
      <c r="AH42" s="1" t="s">
        <v>101</v>
      </c>
      <c r="AI42" s="1">
        <f>IF(X22=0,1,AI37-AI41-AI40-AI39-AI38)</f>
        <v>1</v>
      </c>
    </row>
    <row r="43" spans="2:44" ht="15" customHeight="1" x14ac:dyDescent="0.2">
      <c r="B43" s="39" t="s">
        <v>191</v>
      </c>
      <c r="C43" s="41">
        <f>Fångster!C43</f>
        <v>0</v>
      </c>
      <c r="D43" s="41">
        <f>Fångster!D43</f>
        <v>0</v>
      </c>
      <c r="E43" s="40" t="str">
        <f t="shared" si="12"/>
        <v/>
      </c>
      <c r="F43" s="5">
        <v>1</v>
      </c>
      <c r="H43" s="1">
        <v>1</v>
      </c>
      <c r="J43" s="1">
        <f t="shared" si="13"/>
        <v>0</v>
      </c>
      <c r="K43" s="1">
        <f t="shared" si="14"/>
        <v>0</v>
      </c>
      <c r="L43" s="1">
        <f t="shared" si="15"/>
        <v>0</v>
      </c>
      <c r="M43" s="1">
        <f t="shared" si="16"/>
        <v>0</v>
      </c>
      <c r="N43" s="1">
        <f t="shared" si="10"/>
        <v>0</v>
      </c>
      <c r="O43" s="1">
        <f t="shared" si="10"/>
        <v>0</v>
      </c>
      <c r="P43" s="1">
        <f>IF(R43&gt;0,1,0)</f>
        <v>0</v>
      </c>
      <c r="Q43" s="1">
        <f>IF(D43&gt;0,1,0)</f>
        <v>0</v>
      </c>
      <c r="R43" s="1">
        <f t="shared" si="17"/>
        <v>0</v>
      </c>
      <c r="X43" s="1"/>
      <c r="Y43" s="1"/>
      <c r="Z43" s="1" t="e">
        <f t="shared" si="11"/>
        <v>#DIV/0!</v>
      </c>
      <c r="AB43" s="1" t="s">
        <v>81</v>
      </c>
      <c r="AC43" s="1">
        <f>POWER(AC30,2)</f>
        <v>0</v>
      </c>
      <c r="AD43" s="1"/>
      <c r="AE43" s="1" t="s">
        <v>140</v>
      </c>
      <c r="AF43" s="1" t="e">
        <f>AC7-AF42</f>
        <v>#VALUE!</v>
      </c>
      <c r="AG43" s="1"/>
      <c r="AH43" s="1" t="s">
        <v>241</v>
      </c>
      <c r="AI43" s="1">
        <f>SUM(AI38:AI42)</f>
        <v>1</v>
      </c>
    </row>
    <row r="44" spans="2:44" ht="15" customHeight="1" x14ac:dyDescent="0.2">
      <c r="B44" s="39" t="s">
        <v>192</v>
      </c>
      <c r="C44" s="41">
        <f>Fångster!C44</f>
        <v>0</v>
      </c>
      <c r="D44" s="41">
        <f>Fångster!D44</f>
        <v>0</v>
      </c>
      <c r="E44" s="40" t="str">
        <f t="shared" si="12"/>
        <v/>
      </c>
      <c r="F44" s="5"/>
      <c r="J44" s="1">
        <f t="shared" si="13"/>
        <v>0</v>
      </c>
      <c r="K44" s="1">
        <f t="shared" si="14"/>
        <v>0</v>
      </c>
      <c r="L44" s="1">
        <f t="shared" si="15"/>
        <v>0</v>
      </c>
      <c r="M44" s="1">
        <f t="shared" si="16"/>
        <v>0</v>
      </c>
      <c r="N44" s="1">
        <f t="shared" si="10"/>
        <v>0</v>
      </c>
      <c r="O44" s="1">
        <f t="shared" si="10"/>
        <v>0</v>
      </c>
      <c r="P44" s="1"/>
      <c r="Q44" s="1"/>
      <c r="R44" s="1">
        <f t="shared" si="17"/>
        <v>0</v>
      </c>
      <c r="X44" s="1"/>
      <c r="Y44" s="1"/>
      <c r="Z44" s="1" t="e">
        <f t="shared" si="11"/>
        <v>#DIV/0!</v>
      </c>
      <c r="AB44" s="1" t="s">
        <v>82</v>
      </c>
      <c r="AC44" s="1" t="e">
        <f>POWER(AC33,2)</f>
        <v>#VALUE!</v>
      </c>
      <c r="AD44" s="1"/>
      <c r="AE44" s="1" t="s">
        <v>141</v>
      </c>
      <c r="AF44" s="1" t="e">
        <f>AF43/0.15184125998119</f>
        <v>#VALUE!</v>
      </c>
      <c r="AG44" s="1"/>
      <c r="AH44" s="1" t="s">
        <v>242</v>
      </c>
      <c r="AI44" s="1">
        <f>SUM(AI38:AI39)</f>
        <v>0</v>
      </c>
    </row>
    <row r="45" spans="2:44" ht="15" customHeight="1" x14ac:dyDescent="0.2">
      <c r="B45" s="39" t="s">
        <v>193</v>
      </c>
      <c r="C45" s="41">
        <f>Fångster!C45</f>
        <v>0</v>
      </c>
      <c r="D45" s="41">
        <f>Fångster!D45</f>
        <v>0</v>
      </c>
      <c r="E45" s="40" t="str">
        <f t="shared" si="12"/>
        <v/>
      </c>
      <c r="F45" s="5"/>
      <c r="J45" s="1">
        <f t="shared" si="13"/>
        <v>0</v>
      </c>
      <c r="K45" s="1">
        <f t="shared" si="14"/>
        <v>0</v>
      </c>
      <c r="L45" s="1">
        <f t="shared" si="15"/>
        <v>0</v>
      </c>
      <c r="M45" s="1">
        <f t="shared" si="16"/>
        <v>0</v>
      </c>
      <c r="N45" s="1">
        <f t="shared" si="10"/>
        <v>0</v>
      </c>
      <c r="O45" s="1">
        <f t="shared" si="10"/>
        <v>0</v>
      </c>
      <c r="P45" s="1"/>
      <c r="Q45" s="1"/>
      <c r="R45" s="1">
        <f t="shared" si="17"/>
        <v>0</v>
      </c>
      <c r="X45" s="1"/>
      <c r="Y45" s="1"/>
      <c r="Z45" s="1" t="e">
        <f t="shared" si="11"/>
        <v>#DIV/0!</v>
      </c>
      <c r="AB45" s="1" t="s">
        <v>83</v>
      </c>
      <c r="AC45" s="1" t="e">
        <f>POWER(AC35,2)</f>
        <v>#VALUE!</v>
      </c>
      <c r="AD45" s="1"/>
      <c r="AE45" s="1" t="s">
        <v>142</v>
      </c>
      <c r="AF45" s="1" t="e">
        <f>IF(AC13=1,AF11,IF(AC13=2,AF14,AF17))</f>
        <v>#VALUE!</v>
      </c>
      <c r="AG45" s="1"/>
      <c r="AH45" s="1" t="s">
        <v>243</v>
      </c>
      <c r="AI45" s="1">
        <f>SUM(AI40:AI42)</f>
        <v>1</v>
      </c>
    </row>
    <row r="46" spans="2:44" ht="15" customHeight="1" x14ac:dyDescent="0.2">
      <c r="B46" s="39" t="s">
        <v>22</v>
      </c>
      <c r="C46" s="41">
        <f>Fångster!C46</f>
        <v>0</v>
      </c>
      <c r="D46" s="41">
        <f>Fångster!D46</f>
        <v>0</v>
      </c>
      <c r="E46" s="40" t="str">
        <f t="shared" si="12"/>
        <v/>
      </c>
      <c r="F46" s="5"/>
      <c r="J46" s="1">
        <f t="shared" si="13"/>
        <v>0</v>
      </c>
      <c r="K46" s="1">
        <f t="shared" si="14"/>
        <v>0</v>
      </c>
      <c r="L46" s="1">
        <f t="shared" si="15"/>
        <v>0</v>
      </c>
      <c r="M46" s="1">
        <f t="shared" si="16"/>
        <v>0</v>
      </c>
      <c r="N46" s="1">
        <f t="shared" si="10"/>
        <v>0</v>
      </c>
      <c r="O46" s="1">
        <f t="shared" si="10"/>
        <v>0</v>
      </c>
      <c r="P46" s="1"/>
      <c r="Q46" s="1"/>
      <c r="R46" s="1">
        <f t="shared" si="17"/>
        <v>0</v>
      </c>
      <c r="X46" s="1"/>
      <c r="Y46" s="1"/>
      <c r="Z46" s="1" t="e">
        <f t="shared" si="11"/>
        <v>#DIV/0!</v>
      </c>
      <c r="AB46" s="1" t="s">
        <v>84</v>
      </c>
      <c r="AC46" s="1" t="e">
        <f>POWER(AC37,2)</f>
        <v>#VALUE!</v>
      </c>
      <c r="AD46" s="1"/>
      <c r="AE46" s="1" t="s">
        <v>143</v>
      </c>
      <c r="AF46" s="1" t="e">
        <f>IF(AC13=1,AF23,AF20)</f>
        <v>#VALUE!</v>
      </c>
      <c r="AG46" s="1"/>
      <c r="AH46" s="1" t="s">
        <v>244</v>
      </c>
      <c r="AI46" s="1">
        <f>ABS(AI39-AI40)</f>
        <v>0</v>
      </c>
    </row>
    <row r="47" spans="2:44" ht="15" customHeight="1" x14ac:dyDescent="0.2">
      <c r="B47" s="39" t="s">
        <v>19</v>
      </c>
      <c r="C47" s="41">
        <f>Fångster!C47</f>
        <v>0</v>
      </c>
      <c r="D47" s="41">
        <f>Fångster!D47</f>
        <v>0</v>
      </c>
      <c r="E47" s="40" t="str">
        <f t="shared" si="12"/>
        <v/>
      </c>
      <c r="F47" s="5"/>
      <c r="H47" s="1">
        <v>1</v>
      </c>
      <c r="J47" s="1">
        <f t="shared" si="13"/>
        <v>0</v>
      </c>
      <c r="K47" s="1">
        <f t="shared" si="14"/>
        <v>0</v>
      </c>
      <c r="L47" s="1">
        <f t="shared" si="15"/>
        <v>0</v>
      </c>
      <c r="M47" s="1">
        <f t="shared" si="16"/>
        <v>0</v>
      </c>
      <c r="N47" s="1">
        <f t="shared" si="10"/>
        <v>0</v>
      </c>
      <c r="O47" s="1">
        <f t="shared" si="10"/>
        <v>0</v>
      </c>
      <c r="P47" s="1"/>
      <c r="Q47" s="1"/>
      <c r="R47" s="1">
        <f t="shared" si="17"/>
        <v>0</v>
      </c>
      <c r="X47" s="1"/>
      <c r="Y47" s="1"/>
      <c r="Z47" s="1" t="e">
        <f t="shared" si="11"/>
        <v>#DIV/0!</v>
      </c>
      <c r="AB47" s="1"/>
      <c r="AC47" s="1"/>
      <c r="AD47" s="1"/>
      <c r="AE47" s="1" t="s">
        <v>96</v>
      </c>
      <c r="AF47" s="1" t="str">
        <f>IF(AL12="","",0.1318231353392+(0.0951366515806*AC19)+(-0.003852746994631*AC41)+(-0.03476971457617*AC23)+(-0.04000931284196*AC37)+(0.09875477960582*AC16))</f>
        <v/>
      </c>
      <c r="AG47" s="1"/>
      <c r="AH47" s="1"/>
      <c r="AI47" s="1"/>
    </row>
    <row r="48" spans="2:44" ht="15" customHeight="1" x14ac:dyDescent="0.2">
      <c r="B48" s="39" t="s">
        <v>194</v>
      </c>
      <c r="C48" s="41">
        <f>Fångster!C48</f>
        <v>0</v>
      </c>
      <c r="D48" s="41">
        <f>Fångster!D48</f>
        <v>0</v>
      </c>
      <c r="E48" s="40" t="str">
        <f t="shared" si="12"/>
        <v/>
      </c>
      <c r="F48" s="5">
        <v>1</v>
      </c>
      <c r="H48" s="1">
        <v>1</v>
      </c>
      <c r="J48" s="1">
        <f t="shared" si="13"/>
        <v>0</v>
      </c>
      <c r="K48" s="1">
        <f t="shared" si="14"/>
        <v>0</v>
      </c>
      <c r="L48" s="1">
        <f t="shared" si="15"/>
        <v>0</v>
      </c>
      <c r="M48" s="1">
        <f t="shared" si="16"/>
        <v>0</v>
      </c>
      <c r="N48" s="1">
        <f t="shared" si="10"/>
        <v>0</v>
      </c>
      <c r="O48" s="1">
        <f t="shared" si="10"/>
        <v>0</v>
      </c>
      <c r="P48" s="1"/>
      <c r="Q48" s="1"/>
      <c r="R48" s="1">
        <f t="shared" si="17"/>
        <v>0</v>
      </c>
      <c r="X48" s="1"/>
      <c r="Y48" s="1"/>
      <c r="Z48" s="1" t="e">
        <f t="shared" si="11"/>
        <v>#DIV/0!</v>
      </c>
      <c r="AB48" s="1"/>
      <c r="AC48" s="1"/>
      <c r="AD48" s="1"/>
      <c r="AE48" s="1"/>
      <c r="AF48" s="1"/>
      <c r="AG48" s="1"/>
      <c r="AH48" s="1"/>
      <c r="AI48" s="1"/>
    </row>
    <row r="49" spans="2:35" ht="15" customHeight="1" x14ac:dyDescent="0.2">
      <c r="B49" s="39" t="s">
        <v>195</v>
      </c>
      <c r="C49" s="41">
        <f>Fångster!C49</f>
        <v>0</v>
      </c>
      <c r="D49" s="41">
        <f>Fångster!D49</f>
        <v>0</v>
      </c>
      <c r="E49" s="40" t="str">
        <f t="shared" si="12"/>
        <v/>
      </c>
      <c r="F49" s="5"/>
      <c r="H49" s="1">
        <v>1</v>
      </c>
      <c r="J49" s="1">
        <f t="shared" si="13"/>
        <v>0</v>
      </c>
      <c r="K49" s="1">
        <f t="shared" si="14"/>
        <v>0</v>
      </c>
      <c r="L49" s="1">
        <f t="shared" si="15"/>
        <v>0</v>
      </c>
      <c r="M49" s="1">
        <f t="shared" si="16"/>
        <v>0</v>
      </c>
      <c r="N49" s="1">
        <f t="shared" si="10"/>
        <v>0</v>
      </c>
      <c r="O49" s="1">
        <f t="shared" si="10"/>
        <v>0</v>
      </c>
      <c r="P49" s="1"/>
      <c r="Q49" s="1"/>
      <c r="R49" s="1">
        <f t="shared" si="17"/>
        <v>0</v>
      </c>
      <c r="X49" s="1"/>
      <c r="Y49" s="1"/>
      <c r="Z49" s="1" t="e">
        <f t="shared" si="11"/>
        <v>#DIV/0!</v>
      </c>
      <c r="AB49" s="1"/>
      <c r="AC49" s="1"/>
      <c r="AD49" s="1"/>
      <c r="AE49" s="1"/>
      <c r="AF49" s="1"/>
      <c r="AG49" s="1"/>
      <c r="AH49" s="1"/>
      <c r="AI49" s="1"/>
    </row>
    <row r="50" spans="2:35" ht="15" customHeight="1" x14ac:dyDescent="0.2">
      <c r="B50" s="39" t="s">
        <v>196</v>
      </c>
      <c r="C50" s="41">
        <f>Fångster!C50</f>
        <v>0</v>
      </c>
      <c r="D50" s="41">
        <f>Fångster!D50</f>
        <v>0</v>
      </c>
      <c r="E50" s="40" t="str">
        <f t="shared" si="12"/>
        <v/>
      </c>
      <c r="F50" s="5"/>
      <c r="J50" s="1">
        <f t="shared" si="13"/>
        <v>0</v>
      </c>
      <c r="K50" s="1">
        <f t="shared" si="14"/>
        <v>0</v>
      </c>
      <c r="L50" s="1">
        <f t="shared" si="15"/>
        <v>0</v>
      </c>
      <c r="M50" s="1">
        <f t="shared" si="16"/>
        <v>0</v>
      </c>
      <c r="N50" s="1">
        <f t="shared" si="10"/>
        <v>0</v>
      </c>
      <c r="O50" s="1">
        <f t="shared" si="10"/>
        <v>0</v>
      </c>
      <c r="P50" s="1"/>
      <c r="Q50" s="1"/>
      <c r="R50" s="1">
        <f t="shared" si="17"/>
        <v>0</v>
      </c>
      <c r="X50" s="1"/>
      <c r="Y50" s="1"/>
      <c r="Z50" s="1" t="e">
        <f t="shared" si="11"/>
        <v>#DIV/0!</v>
      </c>
      <c r="AB50" s="1"/>
      <c r="AC50" s="1"/>
      <c r="AD50" s="1"/>
      <c r="AE50" s="1"/>
      <c r="AF50" s="1"/>
      <c r="AG50" s="1"/>
      <c r="AH50" s="1"/>
      <c r="AI50" s="1"/>
    </row>
    <row r="51" spans="2:35" ht="15" customHeight="1" x14ac:dyDescent="0.2">
      <c r="B51" s="39" t="s">
        <v>197</v>
      </c>
      <c r="C51" s="41">
        <f>Fångster!C51</f>
        <v>0</v>
      </c>
      <c r="D51" s="41">
        <f>Fångster!D51</f>
        <v>0</v>
      </c>
      <c r="E51" s="40" t="str">
        <f t="shared" si="12"/>
        <v/>
      </c>
      <c r="F51" s="5"/>
      <c r="G51" s="1">
        <v>1</v>
      </c>
      <c r="J51" s="1">
        <f t="shared" si="13"/>
        <v>0</v>
      </c>
      <c r="K51" s="1">
        <f t="shared" si="14"/>
        <v>0</v>
      </c>
      <c r="L51" s="1">
        <f t="shared" si="15"/>
        <v>0</v>
      </c>
      <c r="M51" s="1">
        <f t="shared" si="16"/>
        <v>0</v>
      </c>
      <c r="N51" s="1">
        <f t="shared" ref="N51:O58" si="18">IF(C51&lt;0,0,IF(C51="",0,C51))</f>
        <v>0</v>
      </c>
      <c r="O51" s="1">
        <f t="shared" si="18"/>
        <v>0</v>
      </c>
      <c r="P51" s="1"/>
      <c r="Q51" s="1"/>
      <c r="R51" s="1">
        <f t="shared" si="17"/>
        <v>0</v>
      </c>
      <c r="X51" s="1"/>
      <c r="Y51" s="1"/>
      <c r="Z51" s="1" t="e">
        <f t="shared" si="11"/>
        <v>#DIV/0!</v>
      </c>
      <c r="AB51" s="1"/>
      <c r="AC51" s="1"/>
      <c r="AD51" s="1"/>
      <c r="AE51" s="1"/>
      <c r="AF51" s="1"/>
      <c r="AG51" s="1"/>
      <c r="AH51" s="1"/>
      <c r="AI51" s="1"/>
    </row>
    <row r="52" spans="2:35" ht="15" customHeight="1" x14ac:dyDescent="0.2">
      <c r="B52" s="39" t="s">
        <v>198</v>
      </c>
      <c r="C52" s="41">
        <f>Fångster!C52</f>
        <v>0</v>
      </c>
      <c r="D52" s="41">
        <f>Fångster!D52</f>
        <v>0</v>
      </c>
      <c r="E52" s="40" t="str">
        <f t="shared" si="12"/>
        <v/>
      </c>
      <c r="F52" s="5"/>
      <c r="G52" s="1">
        <v>1</v>
      </c>
      <c r="J52" s="1">
        <f t="shared" si="13"/>
        <v>0</v>
      </c>
      <c r="K52" s="1">
        <f t="shared" si="14"/>
        <v>0</v>
      </c>
      <c r="L52" s="1">
        <f t="shared" si="15"/>
        <v>0</v>
      </c>
      <c r="M52" s="1">
        <f t="shared" si="16"/>
        <v>0</v>
      </c>
      <c r="N52" s="1">
        <f t="shared" si="18"/>
        <v>0</v>
      </c>
      <c r="O52" s="1">
        <f t="shared" si="18"/>
        <v>0</v>
      </c>
      <c r="P52" s="1"/>
      <c r="Q52" s="1"/>
      <c r="R52" s="1">
        <f t="shared" si="17"/>
        <v>0</v>
      </c>
      <c r="X52" s="1"/>
      <c r="Y52" s="1"/>
      <c r="Z52" s="1" t="e">
        <f t="shared" si="11"/>
        <v>#DIV/0!</v>
      </c>
      <c r="AB52" s="1"/>
      <c r="AC52" s="1"/>
      <c r="AD52" s="1"/>
      <c r="AE52" s="1"/>
      <c r="AF52" s="1"/>
      <c r="AG52" s="1"/>
      <c r="AH52" s="1"/>
      <c r="AI52" s="1"/>
    </row>
    <row r="53" spans="2:35" ht="15" customHeight="1" x14ac:dyDescent="0.2">
      <c r="B53" s="39" t="s">
        <v>199</v>
      </c>
      <c r="C53" s="41">
        <f>Fångster!C53</f>
        <v>0</v>
      </c>
      <c r="D53" s="41">
        <f>Fångster!D53</f>
        <v>0</v>
      </c>
      <c r="E53" s="40" t="str">
        <f t="shared" si="12"/>
        <v/>
      </c>
      <c r="F53" s="5"/>
      <c r="G53" s="1">
        <v>1</v>
      </c>
      <c r="J53" s="1">
        <f t="shared" si="13"/>
        <v>0</v>
      </c>
      <c r="K53" s="1">
        <f t="shared" si="14"/>
        <v>0</v>
      </c>
      <c r="L53" s="1">
        <f t="shared" si="15"/>
        <v>0</v>
      </c>
      <c r="M53" s="1">
        <f t="shared" si="16"/>
        <v>0</v>
      </c>
      <c r="N53" s="1">
        <f t="shared" si="18"/>
        <v>0</v>
      </c>
      <c r="O53" s="1">
        <f t="shared" si="18"/>
        <v>0</v>
      </c>
      <c r="P53" s="1"/>
      <c r="Q53" s="1"/>
      <c r="R53" s="1">
        <f t="shared" si="17"/>
        <v>0</v>
      </c>
      <c r="X53" s="1"/>
      <c r="Y53" s="1"/>
      <c r="Z53" s="1" t="e">
        <f>POWER(R55/$X$8,2)</f>
        <v>#DIV/0!</v>
      </c>
      <c r="AB53" s="1"/>
      <c r="AC53" s="1"/>
      <c r="AD53" s="1"/>
      <c r="AE53" s="1"/>
      <c r="AF53" s="1"/>
      <c r="AG53" s="1"/>
      <c r="AH53" s="1"/>
      <c r="AI53" s="1"/>
    </row>
    <row r="54" spans="2:35" ht="15" customHeight="1" x14ac:dyDescent="0.2">
      <c r="B54" s="5" t="s">
        <v>439</v>
      </c>
      <c r="C54" s="41">
        <f>Fångster!C54</f>
        <v>0</v>
      </c>
      <c r="D54" s="41">
        <f>Fångster!D54</f>
        <v>0</v>
      </c>
      <c r="J54" s="1">
        <f t="shared" si="13"/>
        <v>0</v>
      </c>
      <c r="K54" s="1">
        <f t="shared" si="14"/>
        <v>0</v>
      </c>
      <c r="L54" s="1">
        <f t="shared" si="15"/>
        <v>0</v>
      </c>
      <c r="M54" s="1">
        <f t="shared" si="16"/>
        <v>0</v>
      </c>
      <c r="N54" s="1">
        <f t="shared" si="18"/>
        <v>0</v>
      </c>
      <c r="O54" s="1">
        <f t="shared" si="18"/>
        <v>0</v>
      </c>
      <c r="P54" s="1"/>
      <c r="Q54" s="1"/>
      <c r="R54" s="1">
        <f t="shared" si="17"/>
        <v>0</v>
      </c>
      <c r="X54" s="1"/>
      <c r="Y54" s="1"/>
      <c r="Z54" s="1" t="e">
        <f>POWER(R56/$X$8,2)</f>
        <v>#DIV/0!</v>
      </c>
      <c r="AB54" s="1"/>
      <c r="AC54" s="1"/>
      <c r="AD54" s="1"/>
      <c r="AE54" s="1"/>
      <c r="AF54" s="1"/>
      <c r="AG54" s="1"/>
      <c r="AH54" s="1"/>
      <c r="AI54" s="1"/>
    </row>
    <row r="55" spans="2:35" ht="15" customHeight="1" x14ac:dyDescent="0.2">
      <c r="B55" s="39" t="s">
        <v>18</v>
      </c>
      <c r="C55" s="41">
        <f>Fångster!C55</f>
        <v>0</v>
      </c>
      <c r="D55" s="41">
        <f>Fångster!D55</f>
        <v>0</v>
      </c>
      <c r="E55" s="40" t="str">
        <f>IF(OR(C55&lt;0,D55&lt;0,C55="",D55=""),"Ska vara 0 eller positiva tal.","")</f>
        <v/>
      </c>
      <c r="F55" s="5"/>
      <c r="H55" s="1">
        <v>1</v>
      </c>
      <c r="J55" s="1">
        <f t="shared" si="13"/>
        <v>0</v>
      </c>
      <c r="K55" s="1">
        <f t="shared" si="14"/>
        <v>0</v>
      </c>
      <c r="L55" s="1">
        <f t="shared" si="15"/>
        <v>0</v>
      </c>
      <c r="M55" s="1">
        <f t="shared" si="16"/>
        <v>0</v>
      </c>
      <c r="N55" s="1">
        <f t="shared" si="18"/>
        <v>0</v>
      </c>
      <c r="O55" s="1">
        <f t="shared" si="18"/>
        <v>0</v>
      </c>
      <c r="P55" s="1"/>
      <c r="Q55" s="1"/>
      <c r="R55" s="1">
        <f t="shared" si="17"/>
        <v>0</v>
      </c>
      <c r="X55" s="1"/>
      <c r="Y55" s="1"/>
      <c r="Z55" s="1" t="e">
        <f>POWER(R58/$X$8,2)</f>
        <v>#DIV/0!</v>
      </c>
      <c r="AB55" s="1"/>
      <c r="AC55" s="1"/>
      <c r="AD55" s="1"/>
      <c r="AE55" s="1"/>
      <c r="AF55" s="1"/>
      <c r="AG55" s="1"/>
      <c r="AH55" s="1"/>
      <c r="AI55" s="1"/>
    </row>
    <row r="56" spans="2:35" ht="15" customHeight="1" x14ac:dyDescent="0.2">
      <c r="B56" s="39" t="s">
        <v>200</v>
      </c>
      <c r="C56" s="41">
        <f>Fångster!C56</f>
        <v>0</v>
      </c>
      <c r="D56" s="41">
        <f>Fångster!D56</f>
        <v>0</v>
      </c>
      <c r="E56" s="40" t="str">
        <f>IF(OR(C56&lt;0,D56&lt;0,C56="",D56=""),"Ska vara 0 eller positiva tal.","")</f>
        <v/>
      </c>
      <c r="F56" s="5"/>
      <c r="G56" s="1">
        <v>1</v>
      </c>
      <c r="J56" s="1">
        <f t="shared" si="13"/>
        <v>0</v>
      </c>
      <c r="K56" s="1">
        <f t="shared" si="14"/>
        <v>0</v>
      </c>
      <c r="L56" s="1">
        <f t="shared" si="15"/>
        <v>0</v>
      </c>
      <c r="M56" s="1">
        <f t="shared" si="16"/>
        <v>0</v>
      </c>
      <c r="N56" s="1">
        <f t="shared" si="18"/>
        <v>0</v>
      </c>
      <c r="O56" s="1">
        <f t="shared" si="18"/>
        <v>0</v>
      </c>
      <c r="P56" s="1"/>
      <c r="Q56" s="1"/>
      <c r="R56" s="1">
        <f t="shared" si="17"/>
        <v>0</v>
      </c>
      <c r="X56" s="1"/>
      <c r="Y56" s="1"/>
      <c r="Z56" s="1" t="e">
        <f>POWER(R59/$X$8,2)</f>
        <v>#DIV/0!</v>
      </c>
      <c r="AB56" s="1"/>
      <c r="AC56" s="1"/>
      <c r="AD56" s="1"/>
      <c r="AE56" s="1"/>
      <c r="AF56" s="1"/>
      <c r="AG56" s="1"/>
      <c r="AH56" s="1"/>
      <c r="AI56" s="1"/>
    </row>
    <row r="57" spans="2:35" x14ac:dyDescent="0.2">
      <c r="B57" s="5" t="s">
        <v>440</v>
      </c>
      <c r="C57" s="41">
        <f>Fångster!C57</f>
        <v>0</v>
      </c>
      <c r="D57" s="41">
        <f>Fångster!D57</f>
        <v>0</v>
      </c>
      <c r="J57" s="1">
        <f t="shared" si="13"/>
        <v>0</v>
      </c>
      <c r="K57" s="1">
        <f t="shared" si="14"/>
        <v>0</v>
      </c>
      <c r="L57" s="1">
        <f t="shared" si="15"/>
        <v>0</v>
      </c>
      <c r="M57" s="1">
        <f t="shared" si="16"/>
        <v>0</v>
      </c>
      <c r="N57" s="1">
        <f t="shared" si="18"/>
        <v>0</v>
      </c>
      <c r="O57" s="1">
        <f t="shared" si="18"/>
        <v>0</v>
      </c>
      <c r="P57" s="1"/>
      <c r="Q57" s="1"/>
      <c r="R57" s="1">
        <f t="shared" si="17"/>
        <v>0</v>
      </c>
      <c r="X57" s="1"/>
      <c r="Y57" s="1" t="s">
        <v>41</v>
      </c>
      <c r="Z57" s="1" t="e">
        <f>SUM(Z7:Z56)</f>
        <v>#DIV/0!</v>
      </c>
      <c r="AB57" s="1"/>
      <c r="AC57" s="1"/>
      <c r="AD57" s="1"/>
      <c r="AE57" s="1"/>
      <c r="AF57" s="1"/>
      <c r="AG57" s="1"/>
      <c r="AH57" s="1"/>
      <c r="AI57" s="1"/>
    </row>
    <row r="58" spans="2:35" x14ac:dyDescent="0.2">
      <c r="B58" s="39" t="s">
        <v>23</v>
      </c>
      <c r="C58" s="41">
        <f>Fångster!C58</f>
        <v>0</v>
      </c>
      <c r="D58" s="41">
        <f>Fångster!D58</f>
        <v>0</v>
      </c>
      <c r="E58" s="40" t="str">
        <f>IF(OR(C58&lt;0,D58&lt;0,C58="",D58=""),"Ska vara 0 eller positiva tal.","")</f>
        <v/>
      </c>
      <c r="F58" s="5"/>
      <c r="H58" s="1">
        <v>1</v>
      </c>
      <c r="J58" s="1">
        <f t="shared" si="13"/>
        <v>0</v>
      </c>
      <c r="K58" s="1">
        <f t="shared" si="14"/>
        <v>0</v>
      </c>
      <c r="L58" s="1">
        <f t="shared" si="15"/>
        <v>0</v>
      </c>
      <c r="M58" s="1">
        <f t="shared" si="16"/>
        <v>0</v>
      </c>
      <c r="N58" s="1">
        <f t="shared" si="18"/>
        <v>0</v>
      </c>
      <c r="O58" s="1">
        <f t="shared" si="18"/>
        <v>0</v>
      </c>
      <c r="P58" s="1"/>
      <c r="Q58" s="1"/>
      <c r="R58" s="1">
        <f t="shared" si="17"/>
        <v>0</v>
      </c>
    </row>
    <row r="59" spans="2:35" x14ac:dyDescent="0.2">
      <c r="B59" s="39" t="s">
        <v>12</v>
      </c>
      <c r="C59" s="41">
        <f>Fångster!C59</f>
        <v>0</v>
      </c>
      <c r="D59" s="41">
        <f>Fångster!D59</f>
        <v>0</v>
      </c>
      <c r="E59" s="40" t="str">
        <f>IF(OR(C59&lt;0,D59&lt;0,C59="",D59=""),"Ska vara 0 eller positiva tal.","")</f>
        <v/>
      </c>
      <c r="F59" s="5"/>
      <c r="H59" s="5"/>
      <c r="J59" s="1">
        <f>R59*F59</f>
        <v>0</v>
      </c>
      <c r="K59" s="1">
        <f>R59*G59</f>
        <v>0</v>
      </c>
      <c r="L59" s="1">
        <f>R59*I59</f>
        <v>0</v>
      </c>
      <c r="M59" s="1">
        <f>R59*H59</f>
        <v>0</v>
      </c>
      <c r="N59" s="1">
        <f>IF(C59&lt;0,0,IF(C59="",0,C59))</f>
        <v>0</v>
      </c>
      <c r="O59" s="1">
        <f>IF(D59&lt;0,0,IF(D59="",0,D59))</f>
        <v>0</v>
      </c>
      <c r="P59" s="1"/>
      <c r="Q59" s="1"/>
      <c r="R59" s="1">
        <f>N59+O59</f>
        <v>0</v>
      </c>
    </row>
    <row r="60" spans="2:35" x14ac:dyDescent="0.2">
      <c r="C60" s="5"/>
      <c r="D60" s="5"/>
      <c r="E60" s="5"/>
      <c r="N60" s="1"/>
      <c r="O60" s="1"/>
      <c r="P60" s="1">
        <f>SUM(P7,P11,P27,P43)</f>
        <v>0</v>
      </c>
      <c r="Q60" s="1">
        <f>SUM(Q7,Q11,Q27,Q43)</f>
        <v>0</v>
      </c>
      <c r="R60" s="1"/>
    </row>
    <row r="61" spans="2:35" ht="15" x14ac:dyDescent="0.25">
      <c r="B61" s="1" t="s">
        <v>28</v>
      </c>
      <c r="C61" s="1">
        <f>IF(X6="Ström",C7,IF(X6="",C7,0))</f>
        <v>0</v>
      </c>
      <c r="D61" s="1">
        <f>IF(X6="Ström",D7,IF(X6="",D7,0))</f>
        <v>0</v>
      </c>
      <c r="F61" s="1">
        <v>1</v>
      </c>
      <c r="G61" s="2"/>
      <c r="H61" s="1">
        <v>1</v>
      </c>
      <c r="I61" s="1">
        <v>1</v>
      </c>
      <c r="J61" s="1">
        <f>R61*F61</f>
        <v>0</v>
      </c>
      <c r="K61" s="1">
        <f>R61*G61</f>
        <v>0</v>
      </c>
      <c r="L61" s="1">
        <f>R61*I61</f>
        <v>0</v>
      </c>
      <c r="M61" s="1">
        <f>R61*H61</f>
        <v>0</v>
      </c>
      <c r="N61" s="1">
        <f t="shared" ref="N61:O63" si="19">IF(C61&lt;0,0,C61)</f>
        <v>0</v>
      </c>
      <c r="O61" s="1">
        <f t="shared" si="19"/>
        <v>0</v>
      </c>
      <c r="P61" s="1"/>
      <c r="Q61" s="1"/>
      <c r="R61" s="1">
        <f>N61+O61</f>
        <v>0</v>
      </c>
    </row>
    <row r="62" spans="2:35" ht="15" x14ac:dyDescent="0.25">
      <c r="B62" s="1" t="s">
        <v>29</v>
      </c>
      <c r="C62" s="1">
        <f>IF(X6="Insjö",C7,0)</f>
        <v>0</v>
      </c>
      <c r="D62" s="1">
        <f>IF(X6="Insjö",D7,0)</f>
        <v>0</v>
      </c>
      <c r="F62" s="1">
        <v>1</v>
      </c>
      <c r="G62" s="2"/>
      <c r="H62" s="1">
        <v>1</v>
      </c>
      <c r="I62" s="1">
        <v>1</v>
      </c>
      <c r="J62" s="1">
        <f>R62*F62</f>
        <v>0</v>
      </c>
      <c r="K62" s="1">
        <f>R62*G62</f>
        <v>0</v>
      </c>
      <c r="L62" s="1">
        <f>R62*I62</f>
        <v>0</v>
      </c>
      <c r="M62" s="1">
        <f>R62*H62</f>
        <v>0</v>
      </c>
      <c r="N62" s="1">
        <f t="shared" si="19"/>
        <v>0</v>
      </c>
      <c r="O62" s="1">
        <f t="shared" si="19"/>
        <v>0</v>
      </c>
      <c r="P62" s="1"/>
      <c r="Q62" s="1"/>
      <c r="R62" s="1">
        <f t="shared" ref="R62:R63" si="20">N62+O62</f>
        <v>0</v>
      </c>
    </row>
    <row r="63" spans="2:35" ht="15" x14ac:dyDescent="0.25">
      <c r="B63" s="1" t="s">
        <v>30</v>
      </c>
      <c r="C63" s="1">
        <f>IF(X6="Hav",C7,0)</f>
        <v>0</v>
      </c>
      <c r="D63" s="1">
        <f>IF(X6="Hav",D7,0)</f>
        <v>0</v>
      </c>
      <c r="F63" s="1">
        <v>1</v>
      </c>
      <c r="G63" s="2"/>
      <c r="H63" s="1">
        <v>1</v>
      </c>
      <c r="I63" s="1">
        <v>1</v>
      </c>
      <c r="J63" s="1">
        <f>R63*F63</f>
        <v>0</v>
      </c>
      <c r="K63" s="1">
        <f>R63*G63</f>
        <v>0</v>
      </c>
      <c r="L63" s="1">
        <f>R63*I63</f>
        <v>0</v>
      </c>
      <c r="M63" s="1">
        <f>R63*H63</f>
        <v>0</v>
      </c>
      <c r="N63" s="1">
        <f t="shared" si="19"/>
        <v>0</v>
      </c>
      <c r="O63" s="1">
        <f t="shared" si="19"/>
        <v>0</v>
      </c>
      <c r="P63" s="1"/>
      <c r="Q63" s="1"/>
      <c r="R63" s="1">
        <f t="shared" si="20"/>
        <v>0</v>
      </c>
    </row>
  </sheetData>
  <conditionalFormatting sqref="E7:E34 E36:E53 E55:E56 E58:E59">
    <cfRule type="containsText" dxfId="1" priority="1" operator="containsText" text="positiva">
      <formula>NOT(ISERROR(SEARCH("positiva",E7)))</formula>
    </cfRule>
    <cfRule type="containsText" priority="2" operator="containsText" text="positiva">
      <formula>NOT(ISERROR(SEARCH("positiva",E7)))</formula>
    </cfRule>
  </conditionalFormatting>
  <pageMargins left="0.7" right="0.7" top="0.75" bottom="0.75" header="0.3" footer="0.3"/>
  <pageSetup paperSize="9" orientation="portrait" r:id="rId1"/>
  <ignoredErrors>
    <ignoredError sqref="C7:D5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63"/>
  <sheetViews>
    <sheetView topLeftCell="AF1" workbookViewId="0">
      <selection activeCell="AN17" sqref="AN17"/>
    </sheetView>
  </sheetViews>
  <sheetFormatPr defaultRowHeight="14.25" x14ac:dyDescent="0.2"/>
  <cols>
    <col min="2" max="2" width="22.625" style="1" customWidth="1"/>
    <col min="3" max="4" width="9" style="1"/>
    <col min="5" max="5" width="25.625" style="1" customWidth="1"/>
    <col min="6" max="13" width="9" style="1" customWidth="1"/>
    <col min="14" max="22" width="9" customWidth="1"/>
    <col min="23" max="23" width="15.875" customWidth="1"/>
    <col min="24" max="24" width="10.75" customWidth="1"/>
    <col min="25" max="25" width="9" customWidth="1"/>
    <col min="26" max="26" width="9.875" customWidth="1"/>
    <col min="27" max="27" width="9.875" style="1" customWidth="1"/>
    <col min="28" max="28" width="15" customWidth="1"/>
    <col min="29" max="29" width="10.75" customWidth="1"/>
    <col min="30" max="30" width="9" customWidth="1"/>
    <col min="31" max="31" width="12.125" customWidth="1"/>
    <col min="32" max="33" width="9" customWidth="1"/>
    <col min="34" max="34" width="23.5" customWidth="1"/>
    <col min="35" max="35" width="12.25" customWidth="1"/>
    <col min="36" max="36" width="9" customWidth="1"/>
    <col min="37" max="37" width="14.75" customWidth="1"/>
    <col min="38" max="38" width="12.25" customWidth="1"/>
    <col min="39" max="39" width="9" customWidth="1"/>
    <col min="40" max="40" width="15.25" customWidth="1"/>
    <col min="41" max="42" width="9" customWidth="1"/>
    <col min="43" max="43" width="28.5" customWidth="1"/>
    <col min="44" max="44" width="105.75" customWidth="1"/>
  </cols>
  <sheetData>
    <row r="2" spans="2:44" ht="18" x14ac:dyDescent="0.25">
      <c r="B2" s="7" t="s">
        <v>382</v>
      </c>
    </row>
    <row r="3" spans="2:44" ht="18" x14ac:dyDescent="0.25">
      <c r="B3" s="23" t="s">
        <v>381</v>
      </c>
      <c r="AN3" t="s">
        <v>433</v>
      </c>
    </row>
    <row r="4" spans="2:44" ht="18" x14ac:dyDescent="0.25">
      <c r="B4" s="23" t="s">
        <v>380</v>
      </c>
      <c r="AI4" s="4"/>
    </row>
    <row r="5" spans="2:44" ht="15" x14ac:dyDescent="0.25">
      <c r="AB5" s="3" t="s">
        <v>46</v>
      </c>
      <c r="AE5" s="3" t="s">
        <v>102</v>
      </c>
      <c r="AH5" s="3" t="s">
        <v>144</v>
      </c>
      <c r="AK5" s="3" t="s">
        <v>165</v>
      </c>
      <c r="AN5" s="3" t="s">
        <v>171</v>
      </c>
      <c r="AQ5" s="3" t="s">
        <v>204</v>
      </c>
    </row>
    <row r="6" spans="2:44" ht="15" x14ac:dyDescent="0.25">
      <c r="B6" s="2" t="s">
        <v>1</v>
      </c>
      <c r="C6" s="38" t="s">
        <v>2</v>
      </c>
      <c r="D6" s="38" t="s">
        <v>3</v>
      </c>
      <c r="E6" s="38"/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1" t="s">
        <v>38</v>
      </c>
      <c r="N6" s="1" t="s">
        <v>43</v>
      </c>
      <c r="O6" s="1" t="s">
        <v>43</v>
      </c>
      <c r="P6" s="1" t="s">
        <v>44</v>
      </c>
      <c r="Q6" s="1" t="s">
        <v>45</v>
      </c>
      <c r="R6" t="s">
        <v>5</v>
      </c>
      <c r="U6" t="s">
        <v>6</v>
      </c>
      <c r="X6" s="1" t="str">
        <f>IF(Metadata!C15="","",Metadata!C15)</f>
        <v/>
      </c>
      <c r="Y6" s="1"/>
      <c r="Z6" s="1" t="s">
        <v>42</v>
      </c>
      <c r="AB6" s="1" t="s">
        <v>55</v>
      </c>
      <c r="AC6" s="1">
        <f>LOG10(X14+1)</f>
        <v>0</v>
      </c>
      <c r="AD6" s="1"/>
      <c r="AE6" s="1" t="s">
        <v>103</v>
      </c>
      <c r="AF6" s="1" t="e">
        <f>1.66116091793142+(1.488473442075*AC43)+(-1.39342892495772*AC16)+(0.24959604363756*AC40)+(-0.0436095450966362*AC41)+(0.0969550490237131*AC42)+(-0.818353424505666*AC30)</f>
        <v>#VALUE!</v>
      </c>
      <c r="AG6" s="1"/>
      <c r="AH6" s="1" t="s">
        <v>222</v>
      </c>
      <c r="AI6" s="10" t="str">
        <f>IF(OR(AR17="Ja",X22=0),"",NORMSDIST(AF45))</f>
        <v/>
      </c>
      <c r="AK6" t="s">
        <v>166</v>
      </c>
      <c r="AL6" s="1" t="e">
        <f>AVERAGE(AI6:AI11)</f>
        <v>#DIV/0!</v>
      </c>
      <c r="AM6" s="1"/>
      <c r="AN6" s="1" t="s">
        <v>170</v>
      </c>
      <c r="AO6" s="1" t="str">
        <f>IF(AL12="","",IF(AL12&lt;0.0813,5,IF(AL12&lt;0.27403,4,IF(AL12&lt;0.46675,3,IF(AL12&lt;0.7492,2,1)))))</f>
        <v/>
      </c>
      <c r="AP6" s="1"/>
      <c r="AQ6" s="1">
        <v>0</v>
      </c>
      <c r="AR6" s="1" t="s">
        <v>206</v>
      </c>
    </row>
    <row r="7" spans="2:44" ht="15" customHeight="1" x14ac:dyDescent="0.2">
      <c r="B7" s="39" t="s">
        <v>4</v>
      </c>
      <c r="C7" s="41">
        <f>Fångster!C7</f>
        <v>0</v>
      </c>
      <c r="D7" s="41">
        <f>Fångster!D7</f>
        <v>0</v>
      </c>
      <c r="E7" s="40" t="str">
        <f>IF(OR(C7&lt;0,D7&lt;0,C7="",D7=""),"Ska vara 0 eller positiva tal.","")</f>
        <v/>
      </c>
      <c r="F7" s="5">
        <v>1</v>
      </c>
      <c r="H7" s="1">
        <v>1</v>
      </c>
      <c r="I7" s="1">
        <v>1</v>
      </c>
      <c r="J7" s="1">
        <f t="shared" ref="J7:J35" si="0">R7*F7</f>
        <v>0</v>
      </c>
      <c r="K7" s="1">
        <f t="shared" ref="K7:K35" si="1">R7*G7</f>
        <v>0</v>
      </c>
      <c r="L7" s="1">
        <f t="shared" ref="L7:L35" si="2">R7*I7</f>
        <v>0</v>
      </c>
      <c r="M7" s="1">
        <f t="shared" ref="M7:M35" si="3">R7*H7</f>
        <v>0</v>
      </c>
      <c r="N7" s="1">
        <f t="shared" ref="N7:O34" si="4">IF(C7&lt;0,0,IF(C7="",0,C7))</f>
        <v>0</v>
      </c>
      <c r="O7" s="1">
        <f t="shared" si="4"/>
        <v>0</v>
      </c>
      <c r="P7" s="1">
        <f t="shared" ref="P7" si="5">IF(R7&gt;0,1,0)</f>
        <v>0</v>
      </c>
      <c r="Q7" s="1">
        <f>IF(D7&gt;0,1,0)</f>
        <v>0</v>
      </c>
      <c r="R7" s="1">
        <f t="shared" ref="R7:R32" si="6">N7+O7</f>
        <v>0</v>
      </c>
      <c r="X7" s="1"/>
      <c r="Y7" s="1"/>
      <c r="Z7" s="1" t="e">
        <f t="shared" ref="Z7:Z34" si="7">POWER(R7/$X$8,2)</f>
        <v>#DIV/0!</v>
      </c>
      <c r="AB7" s="1" t="s">
        <v>56</v>
      </c>
      <c r="AC7" s="1">
        <f>ASIN(SQRT(X30))</f>
        <v>0</v>
      </c>
      <c r="AD7" s="1"/>
      <c r="AE7" s="1" t="s">
        <v>104</v>
      </c>
      <c r="AF7" s="1" t="e">
        <f>AC6-AF6</f>
        <v>#VALUE!</v>
      </c>
      <c r="AG7" s="1"/>
      <c r="AH7" s="1" t="s">
        <v>223</v>
      </c>
      <c r="AI7" s="1" t="str">
        <f>IF(OR(AR17="Ja",X22=0),"",1-NORMSDIST(AF44))</f>
        <v/>
      </c>
      <c r="AK7" t="s">
        <v>228</v>
      </c>
      <c r="AL7" s="1" t="str">
        <f>IF(AR17="Ja","",IF(X22&gt;0,AVERAGE(AI12:AI15),AL12))</f>
        <v/>
      </c>
      <c r="AM7" s="1"/>
      <c r="AN7" s="1" t="s">
        <v>231</v>
      </c>
      <c r="AO7" s="1" t="str">
        <f>AO6</f>
        <v/>
      </c>
      <c r="AP7" s="1"/>
      <c r="AQ7" s="1">
        <v>1</v>
      </c>
      <c r="AR7" s="1" t="s">
        <v>207</v>
      </c>
    </row>
    <row r="8" spans="2:44" ht="15" customHeight="1" x14ac:dyDescent="0.2">
      <c r="B8" s="39" t="s">
        <v>172</v>
      </c>
      <c r="C8" s="41">
        <f>Fångster!C8</f>
        <v>0</v>
      </c>
      <c r="D8" s="41">
        <f>Fångster!D8</f>
        <v>0</v>
      </c>
      <c r="E8" s="40" t="str">
        <f t="shared" ref="E8:E34" si="8">IF(OR(C8&lt;0,D8&lt;0,C8="",D8=""),"Ska vara 0 eller positiva tal.","")</f>
        <v/>
      </c>
      <c r="F8" s="5"/>
      <c r="H8" s="1">
        <v>1</v>
      </c>
      <c r="J8" s="1">
        <f t="shared" si="0"/>
        <v>0</v>
      </c>
      <c r="K8" s="1">
        <f t="shared" si="1"/>
        <v>0</v>
      </c>
      <c r="L8" s="1">
        <f t="shared" si="2"/>
        <v>0</v>
      </c>
      <c r="M8" s="1">
        <f t="shared" si="3"/>
        <v>0</v>
      </c>
      <c r="N8" s="1">
        <f t="shared" si="4"/>
        <v>0</v>
      </c>
      <c r="O8" s="1">
        <f t="shared" si="4"/>
        <v>0</v>
      </c>
      <c r="P8" s="1"/>
      <c r="Q8" s="1"/>
      <c r="R8" s="1">
        <f t="shared" si="6"/>
        <v>0</v>
      </c>
      <c r="U8" t="s">
        <v>218</v>
      </c>
      <c r="X8" s="1">
        <f>SUM(R7:R59)</f>
        <v>0</v>
      </c>
      <c r="Y8" s="1"/>
      <c r="Z8" s="1" t="e">
        <f t="shared" si="7"/>
        <v>#DIV/0!</v>
      </c>
      <c r="AB8" s="1" t="s">
        <v>57</v>
      </c>
      <c r="AC8" s="1">
        <f>ASIN(SQRT(X28))</f>
        <v>0</v>
      </c>
      <c r="AD8" s="1"/>
      <c r="AE8" s="1" t="s">
        <v>105</v>
      </c>
      <c r="AF8" s="1" t="e">
        <f>AF7/0.50796424520713</f>
        <v>#VALUE!</v>
      </c>
      <c r="AG8" s="1"/>
      <c r="AH8" s="1" t="s">
        <v>224</v>
      </c>
      <c r="AI8" s="1" t="str">
        <f>IF(OR(AR17="Ja",X22=0),"",NORMSDIST(AF46))</f>
        <v/>
      </c>
      <c r="AK8" t="s">
        <v>167</v>
      </c>
      <c r="AL8" s="1" t="str">
        <f>IF(X22&gt;0,AVERAGE(AI16:AI21),AL12)</f>
        <v/>
      </c>
      <c r="AM8" s="1"/>
      <c r="AN8" s="1" t="s">
        <v>232</v>
      </c>
      <c r="AO8" s="1" t="str">
        <f>IF(AND(X22&gt;0,AC24&lt;800),AO6,AO7)</f>
        <v/>
      </c>
      <c r="AP8" s="1"/>
      <c r="AQ8" s="1">
        <v>2</v>
      </c>
      <c r="AR8" s="1" t="s">
        <v>415</v>
      </c>
    </row>
    <row r="9" spans="2:44" ht="15" customHeight="1" x14ac:dyDescent="0.2">
      <c r="B9" s="39" t="s">
        <v>173</v>
      </c>
      <c r="C9" s="41">
        <f>Fångster!C9</f>
        <v>0</v>
      </c>
      <c r="D9" s="41">
        <f>Fångster!D9</f>
        <v>0</v>
      </c>
      <c r="E9" s="40" t="str">
        <f t="shared" si="8"/>
        <v/>
      </c>
      <c r="F9" s="5">
        <v>1</v>
      </c>
      <c r="H9" s="1">
        <v>1</v>
      </c>
      <c r="J9" s="1">
        <f t="shared" si="0"/>
        <v>0</v>
      </c>
      <c r="K9" s="1">
        <f t="shared" si="1"/>
        <v>0</v>
      </c>
      <c r="L9" s="1">
        <f t="shared" si="2"/>
        <v>0</v>
      </c>
      <c r="M9" s="1">
        <f t="shared" si="3"/>
        <v>0</v>
      </c>
      <c r="N9" s="1">
        <f t="shared" si="4"/>
        <v>0</v>
      </c>
      <c r="O9" s="1">
        <f t="shared" si="4"/>
        <v>0</v>
      </c>
      <c r="P9" s="1"/>
      <c r="Q9" s="1"/>
      <c r="R9" s="1">
        <f t="shared" si="6"/>
        <v>0</v>
      </c>
      <c r="X9" s="1"/>
      <c r="Y9" s="1"/>
      <c r="Z9" s="1" t="e">
        <f t="shared" si="7"/>
        <v>#DIV/0!</v>
      </c>
      <c r="AB9" s="1" t="s">
        <v>58</v>
      </c>
      <c r="AC9" s="1">
        <f>ASIN(SQRT(X24))</f>
        <v>0</v>
      </c>
      <c r="AD9" s="1"/>
      <c r="AE9" s="1" t="s">
        <v>106</v>
      </c>
      <c r="AF9" s="1" t="e">
        <f>-3.14677066431973+(-0.224952697289238*AC35)+(0.343990633341144*AC28)+(0.795185661029741*AC30)+(0.638765551272788*AC25)+(1.43629446381192*AC44)</f>
        <v>#VALUE!</v>
      </c>
      <c r="AG9" s="1"/>
      <c r="AH9" s="1" t="s">
        <v>225</v>
      </c>
      <c r="AI9" s="1" t="str">
        <f>IF(OR(AR17="Ja",X22=0),"",1-NORMSDIST(AF32))</f>
        <v/>
      </c>
      <c r="AK9" t="s">
        <v>168</v>
      </c>
      <c r="AL9" s="1" t="str">
        <f>IF(X22&gt;0,AVERAGE(AI22:AI25),AL12)</f>
        <v/>
      </c>
      <c r="AM9" s="1"/>
      <c r="AN9" s="1" t="s">
        <v>233</v>
      </c>
      <c r="AO9" s="1" t="str">
        <f>IF(AND(X22=0,AC24&gt;800),"",AO7)</f>
        <v/>
      </c>
      <c r="AP9" s="1"/>
      <c r="AQ9" s="1">
        <v>3</v>
      </c>
      <c r="AR9" s="1" t="s">
        <v>416</v>
      </c>
    </row>
    <row r="10" spans="2:44" ht="15" customHeight="1" x14ac:dyDescent="0.2">
      <c r="B10" s="39" t="s">
        <v>9</v>
      </c>
      <c r="C10" s="41">
        <f>Fångster!C10</f>
        <v>0</v>
      </c>
      <c r="D10" s="41">
        <f>Fångster!D10</f>
        <v>0</v>
      </c>
      <c r="E10" s="40" t="str">
        <f t="shared" si="8"/>
        <v/>
      </c>
      <c r="F10" s="5"/>
      <c r="H10" s="1">
        <v>1</v>
      </c>
      <c r="J10" s="1">
        <f t="shared" si="0"/>
        <v>0</v>
      </c>
      <c r="K10" s="1">
        <f t="shared" si="1"/>
        <v>0</v>
      </c>
      <c r="L10" s="1">
        <f t="shared" si="2"/>
        <v>0</v>
      </c>
      <c r="M10" s="1">
        <f t="shared" si="3"/>
        <v>0</v>
      </c>
      <c r="N10" s="1">
        <f t="shared" si="4"/>
        <v>0</v>
      </c>
      <c r="O10" s="1">
        <f t="shared" si="4"/>
        <v>0</v>
      </c>
      <c r="P10" s="1"/>
      <c r="Q10" s="1"/>
      <c r="R10" s="1">
        <f t="shared" si="6"/>
        <v>0</v>
      </c>
      <c r="U10" t="s">
        <v>219</v>
      </c>
      <c r="X10" s="1">
        <f>SUM(J7:J59)</f>
        <v>0</v>
      </c>
      <c r="Y10" s="1"/>
      <c r="Z10" s="1" t="e">
        <f t="shared" si="7"/>
        <v>#DIV/0!</v>
      </c>
      <c r="AB10" s="1" t="s">
        <v>59</v>
      </c>
      <c r="AC10" s="1">
        <f>ASIN(SQRT(X26))</f>
        <v>0</v>
      </c>
      <c r="AD10" s="1"/>
      <c r="AE10" s="1" t="s">
        <v>107</v>
      </c>
      <c r="AF10" s="1" t="e">
        <f>AC6-AF9</f>
        <v>#VALUE!</v>
      </c>
      <c r="AG10" s="1"/>
      <c r="AH10" s="1" t="s">
        <v>226</v>
      </c>
      <c r="AI10" s="1" t="str">
        <f>IF(OR(AR17="Ja",X22=0),"",NORMSDIST(AF35))</f>
        <v/>
      </c>
      <c r="AK10" t="s">
        <v>229</v>
      </c>
      <c r="AL10" s="1" t="str">
        <f>IF(AR17="Ja","",IF(X22&gt;0,AVERAGE(AI26:AI29),AL12))</f>
        <v/>
      </c>
      <c r="AM10" s="1"/>
      <c r="AN10" s="1" t="s">
        <v>234</v>
      </c>
      <c r="AO10" s="1" t="str">
        <f>IF(AND(X22&gt;0,AC24&gt;800),AO6,AO7)</f>
        <v/>
      </c>
      <c r="AP10" s="1"/>
      <c r="AQ10" s="1">
        <v>4</v>
      </c>
      <c r="AR10" s="1" t="s">
        <v>434</v>
      </c>
    </row>
    <row r="11" spans="2:44" ht="15" customHeight="1" x14ac:dyDescent="0.2">
      <c r="B11" s="39" t="s">
        <v>11</v>
      </c>
      <c r="C11" s="41">
        <f>Fångster!C11</f>
        <v>0</v>
      </c>
      <c r="D11" s="41">
        <f>Fångster!D11</f>
        <v>0</v>
      </c>
      <c r="E11" s="40" t="str">
        <f t="shared" si="8"/>
        <v/>
      </c>
      <c r="F11" s="5">
        <v>1</v>
      </c>
      <c r="H11" s="1">
        <v>1</v>
      </c>
      <c r="I11" s="1">
        <v>1</v>
      </c>
      <c r="J11" s="1">
        <f t="shared" si="0"/>
        <v>0</v>
      </c>
      <c r="K11" s="1">
        <f t="shared" si="1"/>
        <v>0</v>
      </c>
      <c r="L11" s="1">
        <f t="shared" si="2"/>
        <v>0</v>
      </c>
      <c r="M11" s="1">
        <f t="shared" si="3"/>
        <v>0</v>
      </c>
      <c r="N11" s="1">
        <f t="shared" si="4"/>
        <v>0</v>
      </c>
      <c r="O11" s="1">
        <f t="shared" si="4"/>
        <v>0</v>
      </c>
      <c r="P11" s="1">
        <f t="shared" ref="P11:P27" si="9">IF(R11&gt;0,1,0)</f>
        <v>0</v>
      </c>
      <c r="Q11" s="1">
        <f>IF(D11&gt;0,1,0)</f>
        <v>0</v>
      </c>
      <c r="R11" s="1">
        <f t="shared" si="6"/>
        <v>0</v>
      </c>
      <c r="X11" s="1"/>
      <c r="Y11" s="1"/>
      <c r="Z11" s="1" t="e">
        <f t="shared" si="7"/>
        <v>#DIV/0!</v>
      </c>
      <c r="AB11" s="1" t="s">
        <v>60</v>
      </c>
      <c r="AC11" s="1" t="str">
        <f>IF(X34="","",ASIN(SQRT(X34)))</f>
        <v/>
      </c>
      <c r="AD11" s="1"/>
      <c r="AE11" s="1" t="s">
        <v>108</v>
      </c>
      <c r="AF11" s="1" t="e">
        <f>AF10/0.438375590800153</f>
        <v>#VALUE!</v>
      </c>
      <c r="AG11" s="1"/>
      <c r="AH11" s="1" t="s">
        <v>227</v>
      </c>
      <c r="AI11" s="1" t="str">
        <f>IF(AR17="Ja","",IF(AF38="","",NORMSDIST(AF38)))</f>
        <v/>
      </c>
      <c r="AK11" t="s">
        <v>169</v>
      </c>
      <c r="AL11" s="1" t="str">
        <f>IF(X22&gt;0,AVERAGE(AI30:AI32),AL12)</f>
        <v/>
      </c>
      <c r="AM11" s="1"/>
      <c r="AN11" s="1" t="s">
        <v>235</v>
      </c>
      <c r="AO11" s="1" t="str">
        <f>IF(AND(X22=0,AC24&lt;800),5,AO7)</f>
        <v/>
      </c>
      <c r="AP11" s="1"/>
      <c r="AQ11" s="1">
        <v>5</v>
      </c>
      <c r="AR11" s="1" t="s">
        <v>417</v>
      </c>
    </row>
    <row r="12" spans="2:44" ht="15" customHeight="1" x14ac:dyDescent="0.2">
      <c r="B12" s="39" t="s">
        <v>174</v>
      </c>
      <c r="C12" s="41">
        <f>Fångster!C12</f>
        <v>0</v>
      </c>
      <c r="D12" s="41">
        <f>Fångster!D12</f>
        <v>0</v>
      </c>
      <c r="E12" s="40" t="str">
        <f t="shared" si="8"/>
        <v/>
      </c>
      <c r="F12" s="5"/>
      <c r="G12" s="1">
        <v>1</v>
      </c>
      <c r="J12" s="1">
        <f t="shared" si="0"/>
        <v>0</v>
      </c>
      <c r="K12" s="1">
        <f t="shared" si="1"/>
        <v>0</v>
      </c>
      <c r="L12" s="1">
        <f t="shared" si="2"/>
        <v>0</v>
      </c>
      <c r="M12" s="1">
        <f t="shared" si="3"/>
        <v>0</v>
      </c>
      <c r="N12" s="1">
        <f t="shared" si="4"/>
        <v>0</v>
      </c>
      <c r="O12" s="1">
        <f t="shared" si="4"/>
        <v>0</v>
      </c>
      <c r="P12" s="1"/>
      <c r="Q12" s="1"/>
      <c r="R12" s="1">
        <f t="shared" si="6"/>
        <v>0</v>
      </c>
      <c r="U12" t="s">
        <v>220</v>
      </c>
      <c r="X12" s="1">
        <f>SUM(K7:K59)</f>
        <v>0</v>
      </c>
      <c r="Y12" s="1"/>
      <c r="Z12" s="1" t="e">
        <f t="shared" si="7"/>
        <v>#DIV/0!</v>
      </c>
      <c r="AB12" s="1" t="s">
        <v>61</v>
      </c>
      <c r="AC12" s="1" t="e">
        <f>ASIN(SQRT(X32))</f>
        <v>#DIV/0!</v>
      </c>
      <c r="AD12" s="1"/>
      <c r="AE12" s="1" t="s">
        <v>109</v>
      </c>
      <c r="AF12" s="1" t="e">
        <f>2.02198650086536+(-0.341081739117522*AC35)+(1.21509353235713*AC30)+(-0.973454269847993*AC39)+(-1.77491015228841*AC16)</f>
        <v>#VALUE!</v>
      </c>
      <c r="AG12" s="1"/>
      <c r="AH12" s="1" t="s">
        <v>145</v>
      </c>
      <c r="AI12" s="1" t="e">
        <f>NORMSDIST(AF45)</f>
        <v>#VALUE!</v>
      </c>
      <c r="AK12" t="s">
        <v>230</v>
      </c>
      <c r="AL12" s="1" t="str">
        <f>IF(AC13="","",IF(AC16="","",IF(AC19="","",IF(AC23="","",IF(AC25="","",IF(AC28="","",IF(AC33="","",IF(AC35="","",IF(AC37="","",IF(AND(X22=0,AC24&lt;800),0,AL6))))))))))</f>
        <v/>
      </c>
      <c r="AM12" s="1"/>
      <c r="AN12" s="1"/>
      <c r="AO12" s="1"/>
      <c r="AP12" s="1"/>
      <c r="AQ12" s="1">
        <v>6</v>
      </c>
      <c r="AR12" s="1" t="s">
        <v>418</v>
      </c>
    </row>
    <row r="13" spans="2:44" ht="15" customHeight="1" x14ac:dyDescent="0.2">
      <c r="B13" s="39" t="s">
        <v>25</v>
      </c>
      <c r="C13" s="41">
        <f>Fångster!C13</f>
        <v>0</v>
      </c>
      <c r="D13" s="41">
        <f>Fångster!D13</f>
        <v>0</v>
      </c>
      <c r="E13" s="40" t="str">
        <f t="shared" si="8"/>
        <v/>
      </c>
      <c r="F13" s="5"/>
      <c r="H13" s="1">
        <v>1</v>
      </c>
      <c r="J13" s="1">
        <f t="shared" si="0"/>
        <v>0</v>
      </c>
      <c r="K13" s="1">
        <f t="shared" si="1"/>
        <v>0</v>
      </c>
      <c r="L13" s="1">
        <f t="shared" si="2"/>
        <v>0</v>
      </c>
      <c r="M13" s="1">
        <f t="shared" si="3"/>
        <v>0</v>
      </c>
      <c r="N13" s="1">
        <f t="shared" si="4"/>
        <v>0</v>
      </c>
      <c r="O13" s="1">
        <f t="shared" si="4"/>
        <v>0</v>
      </c>
      <c r="P13" s="1"/>
      <c r="Q13" s="1"/>
      <c r="R13" s="1">
        <f t="shared" si="6"/>
        <v>0</v>
      </c>
      <c r="X13" s="1"/>
      <c r="Y13" s="1"/>
      <c r="Z13" s="1" t="e">
        <f t="shared" si="7"/>
        <v>#DIV/0!</v>
      </c>
      <c r="AB13" s="1" t="s">
        <v>7</v>
      </c>
      <c r="AC13" s="1" t="str">
        <f>IF(X6="Insjö",2,IF(X6="Hav",3,IF(X6="Ström",1,"")))</f>
        <v/>
      </c>
      <c r="AD13" s="1"/>
      <c r="AE13" s="1" t="s">
        <v>110</v>
      </c>
      <c r="AF13" s="1" t="e">
        <f>AC6-AF12</f>
        <v>#VALUE!</v>
      </c>
      <c r="AG13" s="1"/>
      <c r="AH13" s="1" t="s">
        <v>146</v>
      </c>
      <c r="AI13" s="1" t="e">
        <f>NORMSDIST(AF46)</f>
        <v>#VALUE!</v>
      </c>
      <c r="AL13" s="1"/>
      <c r="AM13" s="1"/>
      <c r="AN13" s="1"/>
      <c r="AO13" s="1"/>
      <c r="AP13" s="1"/>
      <c r="AQ13" s="1">
        <v>7</v>
      </c>
      <c r="AR13" s="1" t="s">
        <v>441</v>
      </c>
    </row>
    <row r="14" spans="2:44" ht="15" customHeight="1" x14ac:dyDescent="0.2">
      <c r="B14" s="39" t="s">
        <v>175</v>
      </c>
      <c r="C14" s="41">
        <f>Fångster!C14</f>
        <v>0</v>
      </c>
      <c r="D14" s="41">
        <f>Fångster!D14</f>
        <v>0</v>
      </c>
      <c r="E14" s="40" t="str">
        <f t="shared" si="8"/>
        <v/>
      </c>
      <c r="F14" s="5"/>
      <c r="G14" s="1">
        <v>1</v>
      </c>
      <c r="J14" s="1">
        <f t="shared" si="0"/>
        <v>0</v>
      </c>
      <c r="K14" s="1">
        <f t="shared" si="1"/>
        <v>0</v>
      </c>
      <c r="L14" s="1">
        <f t="shared" si="2"/>
        <v>0</v>
      </c>
      <c r="M14" s="1">
        <f t="shared" si="3"/>
        <v>0</v>
      </c>
      <c r="N14" s="1">
        <f t="shared" si="4"/>
        <v>0</v>
      </c>
      <c r="O14" s="1">
        <f t="shared" si="4"/>
        <v>0</v>
      </c>
      <c r="P14" s="1"/>
      <c r="Q14" s="1"/>
      <c r="R14" s="1">
        <f t="shared" si="6"/>
        <v>0</v>
      </c>
      <c r="U14" t="s">
        <v>350</v>
      </c>
      <c r="X14" s="1">
        <f>SUM(L7:L59)</f>
        <v>0</v>
      </c>
      <c r="Y14" s="1"/>
      <c r="Z14" s="1" t="e">
        <f t="shared" si="7"/>
        <v>#DIV/0!</v>
      </c>
      <c r="AB14" s="1" t="s">
        <v>48</v>
      </c>
      <c r="AC14" s="1" t="str">
        <f>IF(Metadata!C19="","",Metadata!C19)</f>
        <v/>
      </c>
      <c r="AD14" s="1"/>
      <c r="AE14" s="1" t="s">
        <v>111</v>
      </c>
      <c r="AF14" s="1" t="e">
        <f>AF13/0.443543165275139</f>
        <v>#VALUE!</v>
      </c>
      <c r="AG14" s="1"/>
      <c r="AH14" s="1" t="s">
        <v>147</v>
      </c>
      <c r="AI14" s="1" t="e">
        <f>NORMSDIST(AF35)</f>
        <v>#VALUE!</v>
      </c>
      <c r="AL14" s="1"/>
      <c r="AM14" s="1"/>
      <c r="AN14" s="1"/>
      <c r="AO14" s="1"/>
      <c r="AP14" s="1"/>
      <c r="AQ14" s="1"/>
      <c r="AR14" s="1"/>
    </row>
    <row r="15" spans="2:44" ht="15" customHeight="1" x14ac:dyDescent="0.25">
      <c r="B15" s="39" t="s">
        <v>176</v>
      </c>
      <c r="C15" s="41">
        <f>Fångster!C15</f>
        <v>0</v>
      </c>
      <c r="D15" s="41">
        <f>Fångster!D15</f>
        <v>0</v>
      </c>
      <c r="E15" s="40" t="str">
        <f t="shared" si="8"/>
        <v/>
      </c>
      <c r="F15" s="5">
        <v>1</v>
      </c>
      <c r="H15" s="1">
        <v>1</v>
      </c>
      <c r="J15" s="1">
        <f t="shared" si="0"/>
        <v>0</v>
      </c>
      <c r="K15" s="1">
        <f t="shared" si="1"/>
        <v>0</v>
      </c>
      <c r="L15" s="1">
        <f t="shared" si="2"/>
        <v>0</v>
      </c>
      <c r="M15" s="1">
        <f t="shared" si="3"/>
        <v>0</v>
      </c>
      <c r="N15" s="1">
        <f t="shared" si="4"/>
        <v>0</v>
      </c>
      <c r="O15" s="1">
        <f t="shared" si="4"/>
        <v>0</v>
      </c>
      <c r="P15" s="1"/>
      <c r="Q15" s="1"/>
      <c r="R15" s="1">
        <f t="shared" si="6"/>
        <v>0</v>
      </c>
      <c r="X15" s="1"/>
      <c r="Y15" s="1"/>
      <c r="Z15" s="1" t="e">
        <f t="shared" si="7"/>
        <v>#DIV/0!</v>
      </c>
      <c r="AB15" s="1" t="s">
        <v>47</v>
      </c>
      <c r="AC15" s="1" t="str">
        <f>IF(AC14="&lt;10 (1)",1,IF(AC14="&lt;100 (2)",2,IF(AC14="&lt;1000 (3)",3,IF(AC14="&lt;10000 (4)",4,IF(AC14="&gt;10000 (5)",5,IF(AC14="","",IF(AC14=-9,"","")))))))</f>
        <v/>
      </c>
      <c r="AD15" s="1"/>
      <c r="AE15" s="1" t="s">
        <v>112</v>
      </c>
      <c r="AF15" s="1" t="e">
        <f>2.39560878593873+(2.96764417196779*AC43)+(-1.82167860380229*AC30)+(-3.13890005209816*AC16)+(0.521626311829737*AC35)+(-0.25805302883851*AC28)</f>
        <v>#VALUE!</v>
      </c>
      <c r="AG15" s="1"/>
      <c r="AH15" s="1" t="s">
        <v>148</v>
      </c>
      <c r="AI15" s="1" t="str">
        <f>IF(AF38="","",NORMSDIST(AF38))</f>
        <v/>
      </c>
      <c r="AK15" s="3" t="s">
        <v>208</v>
      </c>
      <c r="AL15" s="1"/>
      <c r="AM15" s="1"/>
      <c r="AN15" s="2" t="s">
        <v>252</v>
      </c>
      <c r="AP15" s="1"/>
      <c r="AQ15" s="2" t="s">
        <v>95</v>
      </c>
      <c r="AR15" s="1" t="str">
        <f>IF(AND(X22=0,Metadata!C18&gt;=800),AR6,IF(AND(X22=0,AC24&lt;800,AC15&lt;=1,X38="Nej"),AR9,IF(AND(X22=0,AC24&lt;800,AC15&lt;=1,X38="Ja"),AR12,IF(AND(X22=0,AC24&lt;800,AC15&gt;1,X38="Ja"),AR11,IF(X22=0,AR8,IF(AR17="Ja",AR10,IF(AND(X22&gt;0,AC24&gt;=800),AR7,IF(OR(X36&lt;7,X36&gt;10),AR13,""))))))))</f>
        <v>Dålig status pga att fisk saknas.</v>
      </c>
    </row>
    <row r="16" spans="2:44" ht="15" customHeight="1" x14ac:dyDescent="0.2">
      <c r="B16" s="39" t="s">
        <v>177</v>
      </c>
      <c r="C16" s="41">
        <f>Fångster!C16</f>
        <v>0</v>
      </c>
      <c r="D16" s="41">
        <f>Fångster!D16</f>
        <v>0</v>
      </c>
      <c r="E16" s="40" t="str">
        <f t="shared" si="8"/>
        <v/>
      </c>
      <c r="F16" s="5"/>
      <c r="G16" s="1">
        <v>1</v>
      </c>
      <c r="J16" s="1">
        <f t="shared" si="0"/>
        <v>0</v>
      </c>
      <c r="K16" s="1">
        <f t="shared" si="1"/>
        <v>0</v>
      </c>
      <c r="L16" s="1">
        <f t="shared" si="2"/>
        <v>0</v>
      </c>
      <c r="M16" s="1">
        <f t="shared" si="3"/>
        <v>0</v>
      </c>
      <c r="N16" s="1">
        <f t="shared" si="4"/>
        <v>0</v>
      </c>
      <c r="O16" s="1">
        <f t="shared" si="4"/>
        <v>0</v>
      </c>
      <c r="P16" s="1"/>
      <c r="Q16" s="1"/>
      <c r="R16" s="1">
        <f t="shared" si="6"/>
        <v>0</v>
      </c>
      <c r="U16" t="s">
        <v>221</v>
      </c>
      <c r="X16" s="1">
        <f>SUM(M7:M59)</f>
        <v>0</v>
      </c>
      <c r="Y16" s="1"/>
      <c r="Z16" s="1" t="e">
        <f t="shared" si="7"/>
        <v>#DIV/0!</v>
      </c>
      <c r="AB16" s="1" t="s">
        <v>62</v>
      </c>
      <c r="AC16" s="1" t="e">
        <f>IF(AC15&gt;0,LOG10(AC15+1),"")</f>
        <v>#VALUE!</v>
      </c>
      <c r="AD16" s="1"/>
      <c r="AE16" s="1" t="s">
        <v>113</v>
      </c>
      <c r="AF16" s="1" t="e">
        <f>AC6-AF15</f>
        <v>#VALUE!</v>
      </c>
      <c r="AG16" s="1"/>
      <c r="AH16" s="1" t="s">
        <v>149</v>
      </c>
      <c r="AI16" s="10" t="e">
        <f>NORMSDIST(AF45)</f>
        <v>#VALUE!</v>
      </c>
      <c r="AK16" t="s">
        <v>209</v>
      </c>
      <c r="AL16" s="10" t="e">
        <f>POWER(10,AF6)-1</f>
        <v>#VALUE!</v>
      </c>
      <c r="AM16" s="13"/>
      <c r="AN16" s="1" t="str">
        <f>IF(AND(X22=0,AC24&lt;800,AC15&lt;=1,X38="Nej"),"Dålig",IF(AND(X22=0,AC24&lt;800,AC15&lt;=1,X38="Ja"),"Dålig",IF(AND(X22=0,AC24&lt;800,AC15&gt;1,X38="Ja"),"Dålig",IF(AND(X22=0,AC24&gt;=800),"Ej klassad",IF(X22=0,"Dålig",IF(AR17="Ja","Ej klassad",IFERROR(IF(AO7=1,"Hög",IF(AO7=2,"God",IF(AO7=3,"Måttlig",IF(AO7=4,"Otillfredsställande",IF(AO7=5,"Dålig","Ej klassad"))))),"Ej klassad")))))))</f>
        <v>Ej klassad</v>
      </c>
      <c r="AO16" s="1"/>
      <c r="AP16" s="1"/>
      <c r="AQ16" s="1"/>
      <c r="AR16" s="1"/>
    </row>
    <row r="17" spans="2:44" ht="15" customHeight="1" x14ac:dyDescent="0.25">
      <c r="B17" s="39" t="s">
        <v>178</v>
      </c>
      <c r="C17" s="41">
        <f>Fångster!C17</f>
        <v>0</v>
      </c>
      <c r="D17" s="41">
        <f>Fångster!D17</f>
        <v>0</v>
      </c>
      <c r="E17" s="40" t="str">
        <f t="shared" si="8"/>
        <v/>
      </c>
      <c r="F17" s="5"/>
      <c r="G17" s="1">
        <v>1</v>
      </c>
      <c r="J17" s="1">
        <f t="shared" si="0"/>
        <v>0</v>
      </c>
      <c r="K17" s="1">
        <f t="shared" si="1"/>
        <v>0</v>
      </c>
      <c r="L17" s="1">
        <f t="shared" si="2"/>
        <v>0</v>
      </c>
      <c r="M17" s="1">
        <f t="shared" si="3"/>
        <v>0</v>
      </c>
      <c r="N17" s="1">
        <f t="shared" si="4"/>
        <v>0</v>
      </c>
      <c r="O17" s="1">
        <f t="shared" si="4"/>
        <v>0</v>
      </c>
      <c r="P17" s="1"/>
      <c r="Q17" s="1"/>
      <c r="R17" s="1">
        <f t="shared" si="6"/>
        <v>0</v>
      </c>
      <c r="X17" s="1"/>
      <c r="Y17" s="1"/>
      <c r="Z17" s="1" t="e">
        <f t="shared" si="7"/>
        <v>#DIV/0!</v>
      </c>
      <c r="AB17" s="1" t="s">
        <v>50</v>
      </c>
      <c r="AC17" s="1" t="str">
        <f>IF(Metadata!C20="","",Metadata!C20)</f>
        <v/>
      </c>
      <c r="AD17" s="1"/>
      <c r="AE17" s="1" t="s">
        <v>114</v>
      </c>
      <c r="AF17" s="1" t="e">
        <f>AF16/0.408372984000728</f>
        <v>#VALUE!</v>
      </c>
      <c r="AG17" s="1"/>
      <c r="AH17" s="1" t="s">
        <v>150</v>
      </c>
      <c r="AI17" s="1" t="e">
        <f>1-NORMSDIST(AF44)</f>
        <v>#VALUE!</v>
      </c>
      <c r="AK17" t="s">
        <v>210</v>
      </c>
      <c r="AL17" s="1" t="e">
        <f>POWER(10,AF9)-1</f>
        <v>#VALUE!</v>
      </c>
      <c r="AM17" s="1"/>
      <c r="AN17" s="1"/>
      <c r="AO17" s="1"/>
      <c r="AP17" s="1"/>
      <c r="AQ17" s="2" t="s">
        <v>419</v>
      </c>
      <c r="AR17" s="1" t="str">
        <f>IF(OR(AC13="",AC15="",AC18="",AC22="",AC24="",AC26="",AC31="",AC34="",AC36=""),"Ja","Nej")</f>
        <v>Ja</v>
      </c>
    </row>
    <row r="18" spans="2:44" ht="15" customHeight="1" x14ac:dyDescent="0.2">
      <c r="B18" s="39" t="s">
        <v>179</v>
      </c>
      <c r="C18" s="41">
        <f>Fångster!C18</f>
        <v>0</v>
      </c>
      <c r="D18" s="41">
        <f>Fångster!D18</f>
        <v>0</v>
      </c>
      <c r="E18" s="40" t="str">
        <f t="shared" si="8"/>
        <v/>
      </c>
      <c r="F18" s="5">
        <v>1</v>
      </c>
      <c r="H18" s="1">
        <v>1</v>
      </c>
      <c r="J18" s="1">
        <f t="shared" si="0"/>
        <v>0</v>
      </c>
      <c r="K18" s="1">
        <f t="shared" si="1"/>
        <v>0</v>
      </c>
      <c r="L18" s="1">
        <f t="shared" si="2"/>
        <v>0</v>
      </c>
      <c r="M18" s="1">
        <f t="shared" si="3"/>
        <v>0</v>
      </c>
      <c r="N18" s="1">
        <f t="shared" si="4"/>
        <v>0</v>
      </c>
      <c r="O18" s="1">
        <f t="shared" si="4"/>
        <v>0</v>
      </c>
      <c r="P18" s="1"/>
      <c r="Q18" s="1"/>
      <c r="R18" s="1">
        <f t="shared" si="6"/>
        <v>0</v>
      </c>
      <c r="U18" t="s">
        <v>40</v>
      </c>
      <c r="X18" s="1">
        <f>COUNTIF(J7:J59,"&gt;0")</f>
        <v>0</v>
      </c>
      <c r="Y18" s="1"/>
      <c r="Z18" s="1" t="e">
        <f t="shared" si="7"/>
        <v>#DIV/0!</v>
      </c>
      <c r="AB18" s="1" t="s">
        <v>49</v>
      </c>
      <c r="AC18" s="1" t="str">
        <f>IF(AC17="&lt;01 (1)",1,IF(AC17="&lt;05 (2)",2,IF(AC17="&lt;10 (3)",3,IF(AC17="&gt;10 (4)",4,IF(AC17="","",IF(AC17=-9,"",""))))))</f>
        <v/>
      </c>
      <c r="AD18" s="1"/>
      <c r="AE18" s="1" t="s">
        <v>115</v>
      </c>
      <c r="AF18" s="1" t="e">
        <f>1.48136688396524+(0.608063038235814*AC23)+(-0.283834492743044*AC38)+(-0.297584990807304*AC39)+(-0.363693654960169*AC40)</f>
        <v>#VALUE!</v>
      </c>
      <c r="AG18" s="1"/>
      <c r="AH18" s="1" t="s">
        <v>151</v>
      </c>
      <c r="AI18" s="1" t="e">
        <f>NORMSDIST(AF46)</f>
        <v>#VALUE!</v>
      </c>
      <c r="AK18" t="s">
        <v>211</v>
      </c>
      <c r="AL18" s="1" t="e">
        <f>POWER(10,AF12)-1</f>
        <v>#VALUE!</v>
      </c>
      <c r="AM18" s="1"/>
      <c r="AN18" s="1"/>
      <c r="AO18" s="1"/>
      <c r="AP18" s="1"/>
      <c r="AQ18" s="1"/>
      <c r="AR18" s="1"/>
    </row>
    <row r="19" spans="2:44" ht="15" customHeight="1" x14ac:dyDescent="0.25">
      <c r="B19" s="39" t="s">
        <v>180</v>
      </c>
      <c r="C19" s="41">
        <f>Fångster!C19</f>
        <v>0</v>
      </c>
      <c r="D19" s="41">
        <f>Fångster!D19</f>
        <v>0</v>
      </c>
      <c r="E19" s="40" t="str">
        <f t="shared" si="8"/>
        <v/>
      </c>
      <c r="F19" s="5">
        <v>1</v>
      </c>
      <c r="H19" s="1">
        <v>1</v>
      </c>
      <c r="J19" s="1">
        <f t="shared" si="0"/>
        <v>0</v>
      </c>
      <c r="K19" s="1">
        <f t="shared" si="1"/>
        <v>0</v>
      </c>
      <c r="L19" s="1">
        <f t="shared" si="2"/>
        <v>0</v>
      </c>
      <c r="M19" s="1">
        <f t="shared" si="3"/>
        <v>0</v>
      </c>
      <c r="N19" s="1">
        <f t="shared" si="4"/>
        <v>0</v>
      </c>
      <c r="O19" s="1">
        <f t="shared" si="4"/>
        <v>0</v>
      </c>
      <c r="P19" s="1"/>
      <c r="Q19" s="1"/>
      <c r="R19" s="1">
        <f t="shared" si="6"/>
        <v>0</v>
      </c>
      <c r="X19" s="1"/>
      <c r="Y19" s="1"/>
      <c r="Z19" s="1" t="e">
        <f t="shared" si="7"/>
        <v>#DIV/0!</v>
      </c>
      <c r="AB19" s="1" t="s">
        <v>63</v>
      </c>
      <c r="AC19" s="1" t="e">
        <f>IF(AC18&gt;0,LOG10(AC18+1),"")</f>
        <v>#VALUE!</v>
      </c>
      <c r="AD19" s="1"/>
      <c r="AE19" s="1" t="s">
        <v>116</v>
      </c>
      <c r="AF19" s="1" t="e">
        <f>AC8-AF18</f>
        <v>#VALUE!</v>
      </c>
      <c r="AG19" s="1"/>
      <c r="AH19" s="1" t="s">
        <v>152</v>
      </c>
      <c r="AI19" s="1" t="e">
        <f>1-NORMSDIST(AF32)</f>
        <v>#VALUE!</v>
      </c>
      <c r="AK19" t="s">
        <v>212</v>
      </c>
      <c r="AL19" s="1" t="e">
        <f>POWER(10,AF15)-1</f>
        <v>#VALUE!</v>
      </c>
      <c r="AM19" s="1"/>
      <c r="AN19" s="1"/>
      <c r="AO19" s="1"/>
      <c r="AP19" s="1"/>
      <c r="AQ19" s="2" t="s">
        <v>245</v>
      </c>
      <c r="AR19" s="1" t="str">
        <f>IF(OR(AO7=2,AO7=3)*AND(AI46&lt;0.1),"Gränsfall mellan god och måttlig status","")</f>
        <v/>
      </c>
    </row>
    <row r="20" spans="2:44" ht="15" customHeight="1" x14ac:dyDescent="0.2">
      <c r="B20" s="39" t="s">
        <v>181</v>
      </c>
      <c r="C20" s="41">
        <f>Fångster!C20</f>
        <v>0</v>
      </c>
      <c r="D20" s="41">
        <f>Fångster!D20</f>
        <v>0</v>
      </c>
      <c r="E20" s="40" t="str">
        <f t="shared" si="8"/>
        <v/>
      </c>
      <c r="F20" s="5">
        <v>1</v>
      </c>
      <c r="H20" s="1">
        <v>1</v>
      </c>
      <c r="J20" s="1">
        <f t="shared" si="0"/>
        <v>0</v>
      </c>
      <c r="K20" s="1">
        <f t="shared" si="1"/>
        <v>0</v>
      </c>
      <c r="L20" s="1">
        <f t="shared" si="2"/>
        <v>0</v>
      </c>
      <c r="M20" s="1">
        <f t="shared" si="3"/>
        <v>0</v>
      </c>
      <c r="N20" s="1">
        <f t="shared" si="4"/>
        <v>0</v>
      </c>
      <c r="O20" s="1">
        <f t="shared" si="4"/>
        <v>0</v>
      </c>
      <c r="P20" s="1"/>
      <c r="Q20" s="1"/>
      <c r="R20" s="1">
        <f t="shared" si="6"/>
        <v>0</v>
      </c>
      <c r="U20" t="s">
        <v>39</v>
      </c>
      <c r="X20" s="1">
        <f>COUNTIF(K7:K59,"&gt;0")</f>
        <v>0</v>
      </c>
      <c r="Y20" s="1"/>
      <c r="Z20" s="1" t="e">
        <f t="shared" si="7"/>
        <v>#DIV/0!</v>
      </c>
      <c r="AB20" s="1" t="s">
        <v>51</v>
      </c>
      <c r="AC20" s="11" t="str">
        <f>IF(Metadata!C21&gt;0,Metadata!C21,"")</f>
        <v/>
      </c>
      <c r="AD20" s="1"/>
      <c r="AE20" s="1" t="s">
        <v>117</v>
      </c>
      <c r="AF20" s="1" t="e">
        <f>AF19/0.275562119479399</f>
        <v>#VALUE!</v>
      </c>
      <c r="AG20" s="1"/>
      <c r="AH20" s="1" t="s">
        <v>153</v>
      </c>
      <c r="AI20" s="1" t="e">
        <f>NORMSDIST(AF35)</f>
        <v>#VALUE!</v>
      </c>
      <c r="AK20" t="s">
        <v>85</v>
      </c>
      <c r="AL20" s="1" t="e">
        <f>IF(AC13=1,AL17,IF(AC13=2,AL18,IF(AC13=3,AL19,AL16)))</f>
        <v>#VALUE!</v>
      </c>
      <c r="AM20" s="1"/>
      <c r="AN20" s="1"/>
      <c r="AO20" s="1"/>
      <c r="AP20" s="1"/>
      <c r="AQ20" s="1"/>
      <c r="AR20" s="1"/>
    </row>
    <row r="21" spans="2:44" ht="15" customHeight="1" x14ac:dyDescent="0.2">
      <c r="B21" s="39" t="s">
        <v>15</v>
      </c>
      <c r="C21" s="41">
        <f>Fångster!C21</f>
        <v>0</v>
      </c>
      <c r="D21" s="41">
        <f>Fångster!D21</f>
        <v>0</v>
      </c>
      <c r="E21" s="40" t="str">
        <f t="shared" si="8"/>
        <v/>
      </c>
      <c r="F21" s="5"/>
      <c r="H21" s="1">
        <v>1</v>
      </c>
      <c r="J21" s="1">
        <f t="shared" si="0"/>
        <v>0</v>
      </c>
      <c r="K21" s="1">
        <f t="shared" si="1"/>
        <v>0</v>
      </c>
      <c r="L21" s="1">
        <f t="shared" si="2"/>
        <v>0</v>
      </c>
      <c r="M21" s="1">
        <f t="shared" si="3"/>
        <v>0</v>
      </c>
      <c r="N21" s="1">
        <f t="shared" si="4"/>
        <v>0</v>
      </c>
      <c r="O21" s="1">
        <f t="shared" si="4"/>
        <v>0</v>
      </c>
      <c r="P21" s="1"/>
      <c r="Q21" s="1"/>
      <c r="R21" s="1">
        <f t="shared" si="6"/>
        <v>0</v>
      </c>
      <c r="X21" s="1"/>
      <c r="Y21" s="1"/>
      <c r="Z21" s="1" t="e">
        <f t="shared" si="7"/>
        <v>#DIV/0!</v>
      </c>
      <c r="AB21" s="1" t="s">
        <v>52</v>
      </c>
      <c r="AC21" s="11" t="str">
        <f>IF(Metadata!C22&gt;0,Metadata!C22,"")</f>
        <v/>
      </c>
      <c r="AD21" s="1"/>
      <c r="AE21" s="1" t="s">
        <v>118</v>
      </c>
      <c r="AF21" s="1" t="e">
        <f>-2.25746644635226+(0.316070503148381*AC23)+(0.162264692931762*AC28)+(3.23905395336358*AC25)+(-0.717515111634254*AC41)+(-0.439563619560175*AC39)+(-0.14978411744718*AC35)</f>
        <v>#VALUE!</v>
      </c>
      <c r="AG21" s="1"/>
      <c r="AH21" s="1" t="s">
        <v>154</v>
      </c>
      <c r="AI21" s="1" t="str">
        <f>IF(AF38="","",NORMSDIST(AF38))</f>
        <v/>
      </c>
      <c r="AK21" t="s">
        <v>86</v>
      </c>
      <c r="AL21" s="1" t="e">
        <f>POWER(SIN(AF42),2)</f>
        <v>#VALUE!</v>
      </c>
      <c r="AM21" s="1"/>
      <c r="AN21" s="1"/>
      <c r="AO21" s="1"/>
      <c r="AP21" s="1"/>
      <c r="AQ21" s="1"/>
      <c r="AR21" s="1"/>
    </row>
    <row r="22" spans="2:44" ht="15" customHeight="1" x14ac:dyDescent="0.2">
      <c r="B22" s="39" t="s">
        <v>16</v>
      </c>
      <c r="C22" s="41">
        <f>Fångster!C22</f>
        <v>0</v>
      </c>
      <c r="D22" s="41">
        <f>Fångster!D22</f>
        <v>0</v>
      </c>
      <c r="E22" s="40" t="str">
        <f t="shared" si="8"/>
        <v/>
      </c>
      <c r="F22" s="5"/>
      <c r="J22" s="1">
        <f t="shared" si="0"/>
        <v>0</v>
      </c>
      <c r="K22" s="1">
        <f t="shared" si="1"/>
        <v>0</v>
      </c>
      <c r="L22" s="1">
        <f t="shared" si="2"/>
        <v>0</v>
      </c>
      <c r="M22" s="1">
        <f t="shared" si="3"/>
        <v>0</v>
      </c>
      <c r="N22" s="1">
        <f t="shared" si="4"/>
        <v>0</v>
      </c>
      <c r="O22" s="1">
        <f t="shared" si="4"/>
        <v>0</v>
      </c>
      <c r="P22" s="1"/>
      <c r="Q22" s="1"/>
      <c r="R22" s="1">
        <f t="shared" si="6"/>
        <v>0</v>
      </c>
      <c r="U22" t="s">
        <v>202</v>
      </c>
      <c r="X22" s="1">
        <f>COUNTIF(R7:R59,"&gt;0")</f>
        <v>0</v>
      </c>
      <c r="Y22" s="1"/>
      <c r="Z22" s="1" t="e">
        <f t="shared" si="7"/>
        <v>#DIV/0!</v>
      </c>
      <c r="AB22" s="1" t="s">
        <v>53</v>
      </c>
      <c r="AC22" s="1" t="str">
        <f>IF(OR(AC20="",AC21=""),"",MIN(AC20,AC21))</f>
        <v/>
      </c>
      <c r="AD22" s="1"/>
      <c r="AE22" s="1" t="s">
        <v>119</v>
      </c>
      <c r="AF22" s="1" t="e">
        <f>AC8-AF21</f>
        <v>#VALUE!</v>
      </c>
      <c r="AG22" s="1"/>
      <c r="AH22" s="1" t="s">
        <v>155</v>
      </c>
      <c r="AI22" s="1" t="e">
        <f>NORMSDIST(AF45)</f>
        <v>#VALUE!</v>
      </c>
      <c r="AK22" t="s">
        <v>213</v>
      </c>
      <c r="AL22" s="1" t="e">
        <f>POWER(SIN(AF18),2)</f>
        <v>#VALUE!</v>
      </c>
      <c r="AM22" s="1"/>
      <c r="AN22" s="1"/>
      <c r="AO22" s="1"/>
      <c r="AP22" s="1"/>
      <c r="AQ22" s="1"/>
      <c r="AR22" s="1"/>
    </row>
    <row r="23" spans="2:44" ht="15" customHeight="1" x14ac:dyDescent="0.2">
      <c r="B23" s="39" t="s">
        <v>182</v>
      </c>
      <c r="C23" s="41">
        <f>Fångster!C23</f>
        <v>0</v>
      </c>
      <c r="D23" s="41">
        <f>Fångster!D23</f>
        <v>0</v>
      </c>
      <c r="E23" s="40" t="str">
        <f t="shared" si="8"/>
        <v/>
      </c>
      <c r="F23" s="5"/>
      <c r="J23" s="1">
        <f t="shared" si="0"/>
        <v>0</v>
      </c>
      <c r="K23" s="1">
        <f t="shared" si="1"/>
        <v>0</v>
      </c>
      <c r="L23" s="1">
        <f t="shared" si="2"/>
        <v>0</v>
      </c>
      <c r="M23" s="1">
        <f t="shared" si="3"/>
        <v>0</v>
      </c>
      <c r="N23" s="1">
        <f t="shared" si="4"/>
        <v>0</v>
      </c>
      <c r="O23" s="1">
        <f t="shared" si="4"/>
        <v>0</v>
      </c>
      <c r="P23" s="1"/>
      <c r="Q23" s="1"/>
      <c r="R23" s="1">
        <f t="shared" si="6"/>
        <v>0</v>
      </c>
      <c r="X23" s="1"/>
      <c r="Y23" s="1"/>
      <c r="Z23" s="1" t="e">
        <f t="shared" si="7"/>
        <v>#DIV/0!</v>
      </c>
      <c r="AB23" s="1" t="s">
        <v>64</v>
      </c>
      <c r="AC23" s="1" t="e">
        <f>IF(AC22&gt;0,LOG10(AC22+1),"")</f>
        <v>#VALUE!</v>
      </c>
      <c r="AD23" s="1"/>
      <c r="AE23" s="1" t="s">
        <v>120</v>
      </c>
      <c r="AF23" s="1" t="e">
        <f>AF22/0.25674764263209</f>
        <v>#VALUE!</v>
      </c>
      <c r="AG23" s="1"/>
      <c r="AH23" s="1" t="s">
        <v>156</v>
      </c>
      <c r="AI23" s="1" t="e">
        <f>NORMSDIST(AF46)</f>
        <v>#VALUE!</v>
      </c>
      <c r="AK23" t="s">
        <v>214</v>
      </c>
      <c r="AL23" s="1" t="e">
        <f>POWER(SIN(AF21),2)</f>
        <v>#VALUE!</v>
      </c>
      <c r="AM23" s="1"/>
      <c r="AN23" s="1"/>
      <c r="AO23" s="1"/>
      <c r="AP23" s="1"/>
      <c r="AQ23" s="1"/>
      <c r="AR23" s="1"/>
    </row>
    <row r="24" spans="2:44" ht="15" customHeight="1" x14ac:dyDescent="0.2">
      <c r="B24" s="39" t="s">
        <v>183</v>
      </c>
      <c r="C24" s="41">
        <f>Fångster!C24</f>
        <v>0</v>
      </c>
      <c r="D24" s="41">
        <f>Fångster!D24</f>
        <v>0</v>
      </c>
      <c r="E24" s="40" t="str">
        <f t="shared" si="8"/>
        <v/>
      </c>
      <c r="F24" s="5"/>
      <c r="H24" s="1">
        <v>1</v>
      </c>
      <c r="J24" s="1">
        <f t="shared" si="0"/>
        <v>0</v>
      </c>
      <c r="K24" s="1">
        <f t="shared" si="1"/>
        <v>0</v>
      </c>
      <c r="L24" s="1">
        <f t="shared" si="2"/>
        <v>0</v>
      </c>
      <c r="M24" s="1">
        <f t="shared" si="3"/>
        <v>0</v>
      </c>
      <c r="N24" s="1">
        <f t="shared" si="4"/>
        <v>0</v>
      </c>
      <c r="O24" s="1">
        <f t="shared" si="4"/>
        <v>0</v>
      </c>
      <c r="P24" s="1"/>
      <c r="Q24" s="1"/>
      <c r="R24" s="1">
        <f t="shared" si="6"/>
        <v>0</v>
      </c>
      <c r="U24" t="s">
        <v>353</v>
      </c>
      <c r="X24" s="1">
        <f>IF(X22&gt;0,X20/X22,0)</f>
        <v>0</v>
      </c>
      <c r="Y24" s="1"/>
      <c r="Z24" s="1" t="e">
        <f t="shared" si="7"/>
        <v>#DIV/0!</v>
      </c>
      <c r="AB24" s="1" t="s">
        <v>54</v>
      </c>
      <c r="AC24" s="10" t="str">
        <f>IF(Metadata!C18&gt;0,Metadata!C18,"")</f>
        <v/>
      </c>
      <c r="AD24" s="1"/>
      <c r="AE24" s="1" t="s">
        <v>121</v>
      </c>
      <c r="AF24" s="1" t="e">
        <f>1.64835175271255+(-0.674694495943321*AC39)</f>
        <v>#VALUE!</v>
      </c>
      <c r="AG24" s="1"/>
      <c r="AH24" s="1" t="s">
        <v>157</v>
      </c>
      <c r="AI24" s="1" t="e">
        <f>NORMSDIST(AF35)</f>
        <v>#VALUE!</v>
      </c>
      <c r="AK24" t="s">
        <v>215</v>
      </c>
      <c r="AL24" s="1" t="e">
        <f>POWER(SIN(AF24),2)</f>
        <v>#VALUE!</v>
      </c>
      <c r="AM24" s="1"/>
      <c r="AN24" s="1"/>
      <c r="AO24" s="1"/>
      <c r="AP24" s="1"/>
      <c r="AQ24" s="1"/>
    </row>
    <row r="25" spans="2:44" ht="15" customHeight="1" x14ac:dyDescent="0.2">
      <c r="B25" s="39" t="s">
        <v>10</v>
      </c>
      <c r="C25" s="41">
        <f>Fångster!C25</f>
        <v>0</v>
      </c>
      <c r="D25" s="41">
        <f>Fångster!D25</f>
        <v>0</v>
      </c>
      <c r="E25" s="40" t="str">
        <f t="shared" si="8"/>
        <v/>
      </c>
      <c r="F25" s="5"/>
      <c r="J25" s="1">
        <f t="shared" si="0"/>
        <v>0</v>
      </c>
      <c r="K25" s="1">
        <f t="shared" si="1"/>
        <v>0</v>
      </c>
      <c r="L25" s="1">
        <f t="shared" si="2"/>
        <v>0</v>
      </c>
      <c r="M25" s="1">
        <f t="shared" si="3"/>
        <v>0</v>
      </c>
      <c r="N25" s="1">
        <f t="shared" si="4"/>
        <v>0</v>
      </c>
      <c r="O25" s="1">
        <f t="shared" si="4"/>
        <v>0</v>
      </c>
      <c r="P25" s="1"/>
      <c r="Q25" s="1"/>
      <c r="R25" s="1">
        <f t="shared" si="6"/>
        <v>0</v>
      </c>
      <c r="X25" s="1"/>
      <c r="Y25" s="1"/>
      <c r="Z25" s="1" t="e">
        <f t="shared" si="7"/>
        <v>#DIV/0!</v>
      </c>
      <c r="AB25" s="1" t="s">
        <v>65</v>
      </c>
      <c r="AC25" s="1" t="e">
        <f>IF(AC24&gt;0,LOG10(AC24+1),"")</f>
        <v>#VALUE!</v>
      </c>
      <c r="AD25" s="1"/>
      <c r="AE25" s="1" t="s">
        <v>122</v>
      </c>
      <c r="AF25" s="1" t="e">
        <f>AC8-AF24</f>
        <v>#VALUE!</v>
      </c>
      <c r="AG25" s="1"/>
      <c r="AH25" s="1" t="s">
        <v>158</v>
      </c>
      <c r="AI25" s="1" t="str">
        <f>IF(AF38="","",NORMSDIST(AF38))</f>
        <v/>
      </c>
      <c r="AK25" t="s">
        <v>216</v>
      </c>
      <c r="AL25" s="1">
        <f>POWER(SIN(AF27),2)</f>
        <v>0.99964353602166756</v>
      </c>
      <c r="AM25" s="1"/>
      <c r="AN25" s="1"/>
      <c r="AO25" s="1"/>
      <c r="AP25" s="1"/>
      <c r="AR25" s="1"/>
    </row>
    <row r="26" spans="2:44" ht="15" customHeight="1" x14ac:dyDescent="0.2">
      <c r="B26" s="39" t="s">
        <v>24</v>
      </c>
      <c r="C26" s="41">
        <f>Fångster!C26</f>
        <v>0</v>
      </c>
      <c r="D26" s="41">
        <f>Fångster!D26</f>
        <v>0</v>
      </c>
      <c r="E26" s="40" t="str">
        <f t="shared" si="8"/>
        <v/>
      </c>
      <c r="F26" s="5"/>
      <c r="J26" s="1">
        <f t="shared" si="0"/>
        <v>0</v>
      </c>
      <c r="K26" s="1">
        <f t="shared" si="1"/>
        <v>0</v>
      </c>
      <c r="L26" s="1">
        <f t="shared" si="2"/>
        <v>0</v>
      </c>
      <c r="M26" s="1">
        <f t="shared" si="3"/>
        <v>0</v>
      </c>
      <c r="N26" s="1">
        <f t="shared" si="4"/>
        <v>0</v>
      </c>
      <c r="O26" s="1">
        <f t="shared" si="4"/>
        <v>0</v>
      </c>
      <c r="P26" s="1"/>
      <c r="Q26" s="1"/>
      <c r="R26" s="1">
        <f t="shared" si="6"/>
        <v>0</v>
      </c>
      <c r="U26" t="s">
        <v>354</v>
      </c>
      <c r="X26" s="1">
        <f>IF(X22&gt;0,X18/X22,0)</f>
        <v>0</v>
      </c>
      <c r="Y26" s="1"/>
      <c r="Z26" s="1" t="e">
        <f t="shared" si="7"/>
        <v>#DIV/0!</v>
      </c>
      <c r="AB26" s="1" t="s">
        <v>66</v>
      </c>
      <c r="AC26" s="1" t="str">
        <f>IF(Metadata!C23&gt;0,Metadata!C23,"")</f>
        <v/>
      </c>
      <c r="AD26" s="1"/>
      <c r="AE26" s="1" t="s">
        <v>123</v>
      </c>
      <c r="AF26" s="1" t="e">
        <f>AF25/0.339792643922404</f>
        <v>#VALUE!</v>
      </c>
      <c r="AG26" s="1"/>
      <c r="AH26" s="1" t="s">
        <v>159</v>
      </c>
      <c r="AI26" s="1" t="e">
        <f>NORMSDIST(AF45)</f>
        <v>#VALUE!</v>
      </c>
      <c r="AK26" t="s">
        <v>87</v>
      </c>
      <c r="AL26" s="1" t="e">
        <f>IF(AC13=1,AL23,AL22)</f>
        <v>#VALUE!</v>
      </c>
      <c r="AM26" s="1"/>
      <c r="AR26" s="1"/>
    </row>
    <row r="27" spans="2:44" ht="15" customHeight="1" x14ac:dyDescent="0.2">
      <c r="B27" s="39" t="s">
        <v>14</v>
      </c>
      <c r="C27" s="41">
        <f>Fångster!C27</f>
        <v>0</v>
      </c>
      <c r="D27" s="41">
        <f>Fångster!D27</f>
        <v>0</v>
      </c>
      <c r="E27" s="40" t="str">
        <f t="shared" si="8"/>
        <v/>
      </c>
      <c r="F27" s="5">
        <v>1</v>
      </c>
      <c r="H27" s="1">
        <v>1</v>
      </c>
      <c r="J27" s="1">
        <f t="shared" si="0"/>
        <v>0</v>
      </c>
      <c r="K27" s="1">
        <f t="shared" si="1"/>
        <v>0</v>
      </c>
      <c r="L27" s="1">
        <f t="shared" si="2"/>
        <v>0</v>
      </c>
      <c r="M27" s="1">
        <f t="shared" si="3"/>
        <v>0</v>
      </c>
      <c r="N27" s="1">
        <f t="shared" si="4"/>
        <v>0</v>
      </c>
      <c r="O27" s="1">
        <f t="shared" si="4"/>
        <v>0</v>
      </c>
      <c r="P27" s="1">
        <f t="shared" si="9"/>
        <v>0</v>
      </c>
      <c r="Q27" s="1">
        <f>IF(D27&gt;0,1,0)</f>
        <v>0</v>
      </c>
      <c r="R27" s="1">
        <f t="shared" si="6"/>
        <v>0</v>
      </c>
      <c r="X27" s="1"/>
      <c r="Y27" s="1"/>
      <c r="Z27" s="1" t="e">
        <f t="shared" si="7"/>
        <v>#DIV/0!</v>
      </c>
      <c r="AB27" s="1" t="s">
        <v>67</v>
      </c>
      <c r="AC27" s="1" t="e">
        <f>AC26*10</f>
        <v>#VALUE!</v>
      </c>
      <c r="AD27" s="1"/>
      <c r="AE27" s="1" t="s">
        <v>124</v>
      </c>
      <c r="AF27" s="1">
        <f>1.55191495126478+(-0.136214981950556*AC43)</f>
        <v>1.5519149512647801</v>
      </c>
      <c r="AG27" s="1"/>
      <c r="AH27" s="1" t="s">
        <v>160</v>
      </c>
      <c r="AI27" s="1" t="e">
        <f>1-NORMSDIST(AF44)</f>
        <v>#VALUE!</v>
      </c>
      <c r="AK27" t="s">
        <v>88</v>
      </c>
      <c r="AL27" s="1" t="e">
        <f>POWER(SIN(AF30),2)</f>
        <v>#VALUE!</v>
      </c>
      <c r="AM27" s="1"/>
      <c r="AR27" s="1"/>
    </row>
    <row r="28" spans="2:44" ht="15" customHeight="1" x14ac:dyDescent="0.2">
      <c r="B28" s="39" t="s">
        <v>184</v>
      </c>
      <c r="C28" s="41">
        <f>Fångster!C28</f>
        <v>0</v>
      </c>
      <c r="D28" s="41">
        <f>Fångster!D28</f>
        <v>0</v>
      </c>
      <c r="E28" s="40" t="str">
        <f t="shared" si="8"/>
        <v/>
      </c>
      <c r="F28" s="5">
        <v>1</v>
      </c>
      <c r="H28" s="1">
        <v>1</v>
      </c>
      <c r="J28" s="1">
        <f t="shared" si="0"/>
        <v>0</v>
      </c>
      <c r="K28" s="1">
        <f t="shared" si="1"/>
        <v>0</v>
      </c>
      <c r="L28" s="1">
        <f t="shared" si="2"/>
        <v>0</v>
      </c>
      <c r="M28" s="1">
        <f t="shared" si="3"/>
        <v>0</v>
      </c>
      <c r="N28" s="1">
        <f t="shared" si="4"/>
        <v>0</v>
      </c>
      <c r="O28" s="1">
        <f t="shared" si="4"/>
        <v>0</v>
      </c>
      <c r="P28" s="1"/>
      <c r="Q28" s="1"/>
      <c r="R28" s="1">
        <f t="shared" si="6"/>
        <v>0</v>
      </c>
      <c r="U28" t="s">
        <v>352</v>
      </c>
      <c r="X28" s="1">
        <f>IF(X8&gt;0,X16/X8,0)</f>
        <v>0</v>
      </c>
      <c r="Y28" s="1"/>
      <c r="Z28" s="1" t="e">
        <f t="shared" si="7"/>
        <v>#DIV/0!</v>
      </c>
      <c r="AB28" s="1" t="s">
        <v>68</v>
      </c>
      <c r="AC28" s="1" t="e">
        <f>IF(AC27&gt;0,LOG10(AC27+1),"")</f>
        <v>#VALUE!</v>
      </c>
      <c r="AD28" s="1"/>
      <c r="AE28" s="1" t="s">
        <v>125</v>
      </c>
      <c r="AF28" s="1">
        <f>AC8-AF27</f>
        <v>-1.5519149512647801</v>
      </c>
      <c r="AG28" s="1"/>
      <c r="AH28" s="1" t="s">
        <v>161</v>
      </c>
      <c r="AI28" s="1" t="e">
        <f>2*NORMSDIST(-ABS(AF32))</f>
        <v>#VALUE!</v>
      </c>
      <c r="AK28" t="s">
        <v>89</v>
      </c>
      <c r="AL28" s="1" t="e">
        <f>POWER(SIN(AF33),2)</f>
        <v>#VALUE!</v>
      </c>
      <c r="AM28" s="1"/>
      <c r="AN28" s="1"/>
      <c r="AR28" s="1"/>
    </row>
    <row r="29" spans="2:44" ht="15" customHeight="1" x14ac:dyDescent="0.2">
      <c r="B29" s="39" t="s">
        <v>185</v>
      </c>
      <c r="C29" s="41">
        <f>Fångster!C29</f>
        <v>0</v>
      </c>
      <c r="D29" s="41">
        <f>Fångster!D29</f>
        <v>0</v>
      </c>
      <c r="E29" s="40" t="str">
        <f t="shared" si="8"/>
        <v/>
      </c>
      <c r="F29" s="5"/>
      <c r="H29" s="1">
        <v>1</v>
      </c>
      <c r="J29" s="1">
        <f t="shared" si="0"/>
        <v>0</v>
      </c>
      <c r="K29" s="1">
        <f t="shared" si="1"/>
        <v>0</v>
      </c>
      <c r="L29" s="1">
        <f t="shared" si="2"/>
        <v>0</v>
      </c>
      <c r="M29" s="1">
        <f t="shared" si="3"/>
        <v>0</v>
      </c>
      <c r="N29" s="1">
        <f t="shared" si="4"/>
        <v>0</v>
      </c>
      <c r="O29" s="1">
        <f t="shared" si="4"/>
        <v>0</v>
      </c>
      <c r="P29" s="1"/>
      <c r="Q29" s="1"/>
      <c r="R29" s="1">
        <f t="shared" si="6"/>
        <v>0</v>
      </c>
      <c r="X29" s="1"/>
      <c r="Y29" s="1"/>
      <c r="Z29" s="1" t="e">
        <f t="shared" si="7"/>
        <v>#DIV/0!</v>
      </c>
      <c r="AB29" s="1" t="s">
        <v>69</v>
      </c>
      <c r="AC29" s="1">
        <f>IF(Metadata!C26&gt;-9,Metadata!C26,"")</f>
        <v>0</v>
      </c>
      <c r="AD29" s="1"/>
      <c r="AE29" s="1" t="s">
        <v>126</v>
      </c>
      <c r="AF29" s="1">
        <f>AF28/0.141661256748146</f>
        <v>-10.955112123732382</v>
      </c>
      <c r="AG29" s="1"/>
      <c r="AH29" s="1" t="s">
        <v>247</v>
      </c>
      <c r="AI29" s="1" t="e">
        <f>2*NORMSDIST(-ABS(AF41))</f>
        <v>#DIV/0!</v>
      </c>
      <c r="AK29" t="s">
        <v>90</v>
      </c>
      <c r="AL29" s="1" t="e">
        <f>POWER(SIN(AF36),2)</f>
        <v>#VALUE!</v>
      </c>
      <c r="AM29" s="1"/>
      <c r="AN29" s="1"/>
      <c r="AO29" s="1"/>
      <c r="AP29" s="1"/>
      <c r="AR29" s="1"/>
    </row>
    <row r="30" spans="2:44" ht="15" customHeight="1" x14ac:dyDescent="0.2">
      <c r="B30" s="39" t="s">
        <v>17</v>
      </c>
      <c r="C30" s="41">
        <f>Fångster!C30</f>
        <v>0</v>
      </c>
      <c r="D30" s="41">
        <f>Fångster!D30</f>
        <v>0</v>
      </c>
      <c r="E30" s="40" t="str">
        <f t="shared" si="8"/>
        <v/>
      </c>
      <c r="F30" s="5"/>
      <c r="H30" s="1">
        <v>1</v>
      </c>
      <c r="J30" s="1">
        <f t="shared" si="0"/>
        <v>0</v>
      </c>
      <c r="K30" s="1">
        <f t="shared" si="1"/>
        <v>0</v>
      </c>
      <c r="L30" s="1">
        <f t="shared" si="2"/>
        <v>0</v>
      </c>
      <c r="M30" s="1">
        <f t="shared" si="3"/>
        <v>0</v>
      </c>
      <c r="N30" s="1">
        <f t="shared" si="4"/>
        <v>0</v>
      </c>
      <c r="O30" s="1">
        <f t="shared" si="4"/>
        <v>0</v>
      </c>
      <c r="P30" s="1"/>
      <c r="Q30" s="1"/>
      <c r="R30" s="1">
        <f t="shared" si="6"/>
        <v>0</v>
      </c>
      <c r="U30" t="s">
        <v>351</v>
      </c>
      <c r="X30" s="1">
        <f>IF(X8&gt;0,X12/X8,0)</f>
        <v>0</v>
      </c>
      <c r="Y30" s="1"/>
      <c r="Z30" s="1" t="e">
        <f t="shared" si="7"/>
        <v>#DIV/0!</v>
      </c>
      <c r="AB30" s="1" t="s">
        <v>70</v>
      </c>
      <c r="AC30" s="1">
        <f>IF(AC29&lt;0,-LOG10(ABS(AC29)+1),LOG10(ABS(AC29)+1))</f>
        <v>0</v>
      </c>
      <c r="AD30" s="1"/>
      <c r="AE30" s="1" t="s">
        <v>127</v>
      </c>
      <c r="AF30" s="1" t="e">
        <f>-0.380400842756924+(0.431248726997434*AC43)+(0.266174966773411*AC39)+(0.145774142611171*AC37)+(-0.569232915278076*AC23)+(0.453944805788116*AC40)</f>
        <v>#VALUE!</v>
      </c>
      <c r="AG30" s="1"/>
      <c r="AH30" s="1" t="s">
        <v>162</v>
      </c>
      <c r="AI30" s="1" t="e">
        <f>NORMSDIST(AF45)</f>
        <v>#VALUE!</v>
      </c>
      <c r="AK30" t="s">
        <v>92</v>
      </c>
      <c r="AL30" s="1" t="e">
        <f>POWER(SIN(AF39),2)</f>
        <v>#VALUE!</v>
      </c>
      <c r="AM30" s="1"/>
      <c r="AR30" s="1"/>
    </row>
    <row r="31" spans="2:44" ht="15" customHeight="1" x14ac:dyDescent="0.2">
      <c r="B31" s="39" t="s">
        <v>186</v>
      </c>
      <c r="C31" s="41">
        <f>Fångster!C31</f>
        <v>0</v>
      </c>
      <c r="D31" s="41">
        <f>Fångster!D31</f>
        <v>0</v>
      </c>
      <c r="E31" s="40" t="str">
        <f t="shared" si="8"/>
        <v/>
      </c>
      <c r="F31" s="5">
        <v>1</v>
      </c>
      <c r="H31" s="1">
        <v>1</v>
      </c>
      <c r="J31" s="1">
        <f t="shared" si="0"/>
        <v>0</v>
      </c>
      <c r="K31" s="1">
        <f t="shared" si="1"/>
        <v>0</v>
      </c>
      <c r="L31" s="1">
        <f t="shared" si="2"/>
        <v>0</v>
      </c>
      <c r="M31" s="1">
        <f t="shared" si="3"/>
        <v>0</v>
      </c>
      <c r="N31" s="1">
        <f t="shared" si="4"/>
        <v>0</v>
      </c>
      <c r="O31" s="1">
        <f t="shared" si="4"/>
        <v>0</v>
      </c>
      <c r="P31" s="1"/>
      <c r="Q31" s="1"/>
      <c r="R31" s="1">
        <f t="shared" si="6"/>
        <v>0</v>
      </c>
      <c r="X31" s="1"/>
      <c r="Y31" s="1"/>
      <c r="Z31" s="1" t="e">
        <f t="shared" si="7"/>
        <v>#DIV/0!</v>
      </c>
      <c r="AB31" s="1" t="s">
        <v>71</v>
      </c>
      <c r="AC31" s="1" t="str">
        <f>IF(Metadata!C27="","",Metadata!C27)</f>
        <v/>
      </c>
      <c r="AD31" s="1"/>
      <c r="AE31" s="1" t="s">
        <v>128</v>
      </c>
      <c r="AF31" s="1" t="e">
        <f>AC9-AF30</f>
        <v>#VALUE!</v>
      </c>
      <c r="AG31" s="1"/>
      <c r="AH31" s="1" t="s">
        <v>163</v>
      </c>
      <c r="AI31" s="1" t="e">
        <f>2*NORMSDIST(-ABS(AF44))</f>
        <v>#VALUE!</v>
      </c>
      <c r="AR31" s="1"/>
    </row>
    <row r="32" spans="2:44" ht="15" customHeight="1" x14ac:dyDescent="0.2">
      <c r="B32" s="39" t="s">
        <v>26</v>
      </c>
      <c r="C32" s="41">
        <f>Fångster!C32</f>
        <v>0</v>
      </c>
      <c r="D32" s="41">
        <f>Fångster!D32</f>
        <v>0</v>
      </c>
      <c r="E32" s="40" t="str">
        <f t="shared" si="8"/>
        <v/>
      </c>
      <c r="F32" s="5"/>
      <c r="G32" s="1">
        <v>1</v>
      </c>
      <c r="J32" s="1">
        <f t="shared" si="0"/>
        <v>0</v>
      </c>
      <c r="K32" s="1">
        <f t="shared" si="1"/>
        <v>0</v>
      </c>
      <c r="L32" s="1">
        <f t="shared" si="2"/>
        <v>0</v>
      </c>
      <c r="M32" s="1">
        <f t="shared" si="3"/>
        <v>0</v>
      </c>
      <c r="N32" s="1">
        <f t="shared" si="4"/>
        <v>0</v>
      </c>
      <c r="O32" s="1">
        <f t="shared" si="4"/>
        <v>0</v>
      </c>
      <c r="P32" s="1"/>
      <c r="Q32" s="1"/>
      <c r="R32" s="1">
        <f t="shared" si="6"/>
        <v>0</v>
      </c>
      <c r="U32" t="s">
        <v>91</v>
      </c>
      <c r="X32" s="1" t="e">
        <f>1-Z57</f>
        <v>#DIV/0!</v>
      </c>
      <c r="Y32" s="1"/>
      <c r="Z32" s="1" t="e">
        <f t="shared" si="7"/>
        <v>#DIV/0!</v>
      </c>
      <c r="AB32" s="1" t="s">
        <v>72</v>
      </c>
      <c r="AC32" s="1">
        <f>IF(AC31="2 - 4",3,IF(AC31="4 - 6",5,IF(AC31="6 - 8",7,IF(AC31="8 - 10",9,IF(AC31="10 - 11",10.5,IF(AC31="11 - 12",11.5,IF(AC31="12 - 13",12.5,IF(AC31="13 - 14",13.5,IF(AC31="14 - 15",14.5,IF(AC31="15 - 16",15.5,IF(AC31="16 - 17",16.5,-9)))))))))))</f>
        <v>-9</v>
      </c>
      <c r="AD32" s="1"/>
      <c r="AE32" s="1" t="s">
        <v>129</v>
      </c>
      <c r="AF32" s="1" t="e">
        <f>AF31/0.223461925388469</f>
        <v>#VALUE!</v>
      </c>
      <c r="AG32" s="1"/>
      <c r="AH32" s="1" t="s">
        <v>164</v>
      </c>
      <c r="AI32" s="1" t="e">
        <f>NORMSDIST(AF32)</f>
        <v>#VALUE!</v>
      </c>
      <c r="AN32" s="1"/>
      <c r="AR32" s="1"/>
    </row>
    <row r="33" spans="2:44" ht="15" customHeight="1" x14ac:dyDescent="0.2">
      <c r="B33" s="39" t="s">
        <v>187</v>
      </c>
      <c r="C33" s="41">
        <f>Fångster!C33</f>
        <v>0</v>
      </c>
      <c r="D33" s="41">
        <f>Fångster!D33</f>
        <v>0</v>
      </c>
      <c r="E33" s="40" t="str">
        <f t="shared" si="8"/>
        <v/>
      </c>
      <c r="F33" s="5"/>
      <c r="J33" s="1">
        <f t="shared" si="0"/>
        <v>0</v>
      </c>
      <c r="K33" s="1">
        <f t="shared" si="1"/>
        <v>0</v>
      </c>
      <c r="L33" s="1">
        <f t="shared" si="2"/>
        <v>0</v>
      </c>
      <c r="M33" s="1">
        <f t="shared" si="3"/>
        <v>0</v>
      </c>
      <c r="N33" s="1">
        <f t="shared" si="4"/>
        <v>0</v>
      </c>
      <c r="O33" s="1">
        <f t="shared" si="4"/>
        <v>0</v>
      </c>
      <c r="P33" s="1"/>
      <c r="Q33" s="1"/>
      <c r="R33" s="1"/>
      <c r="X33" s="1"/>
      <c r="Y33" s="1"/>
      <c r="Z33" s="1" t="e">
        <f t="shared" si="7"/>
        <v>#DIV/0!</v>
      </c>
      <c r="AB33" s="1" t="s">
        <v>73</v>
      </c>
      <c r="AC33" s="1" t="str">
        <f>IF(AC32&gt;0,LOG10(AC32+1),"")</f>
        <v/>
      </c>
      <c r="AD33" s="1"/>
      <c r="AE33" s="1" t="s">
        <v>130</v>
      </c>
      <c r="AF33" s="1" t="e">
        <f>1.67426269530821+(-0.427034404615515*AC19)+(-1.38320907643694*AC43)+(-0.0628567969967429*AC46)+(0.793575702496459*AC30)+(0.0807737895801519*AC42)+(0.193735148890397*AC23)+(-0.16013964560728*AC41)+(-0.535759053943157*AC38)+(0.44486062193445*AC25)</f>
        <v>#VALUE!</v>
      </c>
      <c r="AG33" s="1"/>
      <c r="AH33" s="1" t="s">
        <v>236</v>
      </c>
      <c r="AI33" s="1" t="e">
        <f>1-_xlfn.NORM.DIST(0.7492,AL12,AF47,TRUE)</f>
        <v>#VALUE!</v>
      </c>
      <c r="AN33" s="1"/>
      <c r="AR33" s="1"/>
    </row>
    <row r="34" spans="2:44" ht="15" customHeight="1" x14ac:dyDescent="0.2">
      <c r="B34" s="39" t="s">
        <v>201</v>
      </c>
      <c r="C34" s="41">
        <f>Fångster!C34</f>
        <v>0</v>
      </c>
      <c r="D34" s="41">
        <f>Fångster!D34</f>
        <v>0</v>
      </c>
      <c r="E34" s="40" t="str">
        <f t="shared" si="8"/>
        <v/>
      </c>
      <c r="F34" s="5"/>
      <c r="J34" s="1">
        <f t="shared" si="0"/>
        <v>0</v>
      </c>
      <c r="K34" s="1">
        <f t="shared" si="1"/>
        <v>0</v>
      </c>
      <c r="L34" s="1">
        <f t="shared" si="2"/>
        <v>0</v>
      </c>
      <c r="M34" s="1">
        <f t="shared" si="3"/>
        <v>0</v>
      </c>
      <c r="N34" s="1">
        <f t="shared" si="4"/>
        <v>0</v>
      </c>
      <c r="O34" s="1">
        <f t="shared" si="4"/>
        <v>0</v>
      </c>
      <c r="P34" s="1"/>
      <c r="Q34" s="1"/>
      <c r="R34" s="1"/>
      <c r="U34" t="s">
        <v>355</v>
      </c>
      <c r="X34" s="12" t="str">
        <f>IF(P60&gt;0,Q60/P60,"")</f>
        <v/>
      </c>
      <c r="Y34" s="1"/>
      <c r="Z34" s="1" t="e">
        <f t="shared" si="7"/>
        <v>#DIV/0!</v>
      </c>
      <c r="AB34" s="1" t="s">
        <v>0</v>
      </c>
      <c r="AC34" s="10" t="str">
        <f>IF(Metadata!C13&gt;0,Metadata!C13,"")</f>
        <v/>
      </c>
      <c r="AD34" s="1"/>
      <c r="AE34" s="1" t="s">
        <v>131</v>
      </c>
      <c r="AF34" s="1" t="e">
        <f>AC10-AF33</f>
        <v>#VALUE!</v>
      </c>
      <c r="AG34" s="1"/>
      <c r="AH34" s="1" t="s">
        <v>237</v>
      </c>
      <c r="AI34" s="1" t="e">
        <f>1-_xlfn.NORM.DIST(0.46675,AL12,AF47,TRUE)</f>
        <v>#VALUE!</v>
      </c>
      <c r="AN34" s="1"/>
    </row>
    <row r="35" spans="2:44" ht="15" customHeight="1" x14ac:dyDescent="0.2">
      <c r="B35" s="5" t="s">
        <v>438</v>
      </c>
      <c r="C35" s="41">
        <f>Fångster!C35</f>
        <v>0</v>
      </c>
      <c r="D35" s="41">
        <f>Fångster!D35</f>
        <v>0</v>
      </c>
      <c r="F35" s="1">
        <v>1</v>
      </c>
      <c r="H35" s="1">
        <v>1</v>
      </c>
      <c r="J35" s="1">
        <f t="shared" si="0"/>
        <v>0</v>
      </c>
      <c r="K35" s="1">
        <f t="shared" si="1"/>
        <v>0</v>
      </c>
      <c r="L35" s="1">
        <f t="shared" si="2"/>
        <v>0</v>
      </c>
      <c r="M35" s="1">
        <f t="shared" si="3"/>
        <v>0</v>
      </c>
      <c r="N35" s="1">
        <f t="shared" ref="N35:O50" si="10">IF(C35&lt;0,0,IF(C35="",0,C35))</f>
        <v>0</v>
      </c>
      <c r="O35" s="1">
        <f t="shared" si="10"/>
        <v>0</v>
      </c>
      <c r="X35" s="1"/>
      <c r="Y35" s="1"/>
      <c r="Z35" s="1" t="e">
        <f t="shared" ref="Z35:Z52" si="11">POWER(R36/$X$8,2)</f>
        <v>#DIV/0!</v>
      </c>
      <c r="AB35" s="1" t="s">
        <v>74</v>
      </c>
      <c r="AC35" s="1" t="e">
        <f>IF(AC34&gt;0,LOG10(AC34+1),"")</f>
        <v>#VALUE!</v>
      </c>
      <c r="AD35" s="1"/>
      <c r="AE35" s="1" t="s">
        <v>132</v>
      </c>
      <c r="AF35" s="1" t="e">
        <f>AF34/0.396569266432725</f>
        <v>#VALUE!</v>
      </c>
      <c r="AG35" s="1"/>
      <c r="AH35" s="1" t="s">
        <v>238</v>
      </c>
      <c r="AI35" s="1" t="e">
        <f>1-_xlfn.NORM.DIST(0.27403,AL12,AF47,TRUE)</f>
        <v>#VALUE!</v>
      </c>
    </row>
    <row r="36" spans="2:44" ht="15" customHeight="1" x14ac:dyDescent="0.2">
      <c r="B36" s="39" t="s">
        <v>20</v>
      </c>
      <c r="C36" s="41">
        <f>Fångster!C36</f>
        <v>0</v>
      </c>
      <c r="D36" s="41">
        <f>Fångster!D36</f>
        <v>0</v>
      </c>
      <c r="E36" s="40" t="str">
        <f t="shared" ref="E36:E53" si="12">IF(OR(C36&lt;0,D36&lt;0,C36="",D36=""),"Ska vara 0 eller positiva tal.","")</f>
        <v/>
      </c>
      <c r="F36" s="5"/>
      <c r="J36" s="1">
        <f>R36*F36</f>
        <v>0</v>
      </c>
      <c r="K36" s="1">
        <f>R36*G36</f>
        <v>0</v>
      </c>
      <c r="L36" s="1">
        <f>R36*I36</f>
        <v>0</v>
      </c>
      <c r="M36" s="1">
        <f>R36*H36</f>
        <v>0</v>
      </c>
      <c r="N36" s="1">
        <f t="shared" si="10"/>
        <v>0</v>
      </c>
      <c r="O36" s="1">
        <f t="shared" si="10"/>
        <v>0</v>
      </c>
      <c r="P36" s="1"/>
      <c r="Q36" s="1"/>
      <c r="R36" s="1">
        <f>N36+O36</f>
        <v>0</v>
      </c>
      <c r="U36" t="s">
        <v>203</v>
      </c>
      <c r="X36" s="1">
        <f>TRUNC((Metadata!C12-((TRUNC(Metadata!C12/10000))*10000))/100)</f>
        <v>0</v>
      </c>
      <c r="Y36" s="1"/>
      <c r="Z36" s="1" t="e">
        <f t="shared" si="11"/>
        <v>#DIV/0!</v>
      </c>
      <c r="AB36" s="1" t="s">
        <v>8</v>
      </c>
      <c r="AC36" s="11" t="str">
        <f>IF(Metadata!C14="","",Metadata!C14)</f>
        <v/>
      </c>
      <c r="AD36" s="1"/>
      <c r="AE36" s="1" t="s">
        <v>133</v>
      </c>
      <c r="AF36" s="1" t="e">
        <f>2.0105+(-2.14843555889678*AC16)</f>
        <v>#VALUE!</v>
      </c>
      <c r="AG36" s="1"/>
      <c r="AH36" s="1" t="s">
        <v>239</v>
      </c>
      <c r="AI36" s="1" t="e">
        <f>1-_xlfn.NORM.DIST(0.0813,AL12,AF47,TRUE)</f>
        <v>#VALUE!</v>
      </c>
    </row>
    <row r="37" spans="2:44" ht="15" customHeight="1" x14ac:dyDescent="0.2">
      <c r="B37" s="39" t="s">
        <v>13</v>
      </c>
      <c r="C37" s="41">
        <f>Fångster!C37</f>
        <v>0</v>
      </c>
      <c r="D37" s="41">
        <f>Fångster!D37</f>
        <v>0</v>
      </c>
      <c r="E37" s="40" t="str">
        <f t="shared" si="12"/>
        <v/>
      </c>
      <c r="F37" s="5"/>
      <c r="G37" s="1">
        <v>1</v>
      </c>
      <c r="J37" s="1">
        <f>R37*F37</f>
        <v>0</v>
      </c>
      <c r="K37" s="1">
        <f>R37*G37</f>
        <v>0</v>
      </c>
      <c r="L37" s="1">
        <f>R37*I37</f>
        <v>0</v>
      </c>
      <c r="M37" s="1">
        <f>R37*H37</f>
        <v>0</v>
      </c>
      <c r="N37" s="1">
        <f t="shared" si="10"/>
        <v>0</v>
      </c>
      <c r="O37" s="1">
        <f t="shared" si="10"/>
        <v>0</v>
      </c>
      <c r="P37" s="1"/>
      <c r="Q37" s="1"/>
      <c r="R37" s="1">
        <f>N37+O37</f>
        <v>0</v>
      </c>
      <c r="X37" s="1"/>
      <c r="Y37" s="1"/>
      <c r="Z37" s="1" t="e">
        <f t="shared" si="11"/>
        <v>#DIV/0!</v>
      </c>
      <c r="AB37" s="1" t="s">
        <v>75</v>
      </c>
      <c r="AC37" s="1" t="e">
        <f>IF(AC36&gt;0,LOG10(AC36+1),"")</f>
        <v>#VALUE!</v>
      </c>
      <c r="AD37" s="1"/>
      <c r="AE37" s="1" t="s">
        <v>134</v>
      </c>
      <c r="AF37" s="1" t="str">
        <f>IF(AC11="","",AC11-AF36)</f>
        <v/>
      </c>
      <c r="AG37" s="1"/>
      <c r="AH37" s="1" t="s">
        <v>240</v>
      </c>
      <c r="AI37" s="1">
        <v>1</v>
      </c>
    </row>
    <row r="38" spans="2:44" ht="15" customHeight="1" x14ac:dyDescent="0.2">
      <c r="B38" s="39" t="s">
        <v>188</v>
      </c>
      <c r="C38" s="41">
        <f>Fångster!C38</f>
        <v>0</v>
      </c>
      <c r="D38" s="41">
        <f>Fångster!D38</f>
        <v>0</v>
      </c>
      <c r="E38" s="40" t="str">
        <f t="shared" si="12"/>
        <v/>
      </c>
      <c r="F38" s="5">
        <v>1</v>
      </c>
      <c r="H38" s="1">
        <v>1</v>
      </c>
      <c r="J38" s="1">
        <f>R38*F38</f>
        <v>0</v>
      </c>
      <c r="K38" s="1">
        <f>R38*G38</f>
        <v>0</v>
      </c>
      <c r="L38" s="1">
        <f>R38*I38</f>
        <v>0</v>
      </c>
      <c r="M38" s="1">
        <f>R38*H38</f>
        <v>0</v>
      </c>
      <c r="N38" s="1">
        <f t="shared" si="10"/>
        <v>0</v>
      </c>
      <c r="O38" s="1">
        <f t="shared" si="10"/>
        <v>0</v>
      </c>
      <c r="P38" s="1"/>
      <c r="Q38" s="1"/>
      <c r="R38" s="1">
        <f>N38+O38</f>
        <v>0</v>
      </c>
      <c r="U38" t="s">
        <v>205</v>
      </c>
      <c r="X38" s="1" t="str">
        <f>IF(C34&gt;0,"Ja",IF(D34&gt;0,"Ja","Nej"))</f>
        <v>Nej</v>
      </c>
      <c r="Y38" s="1"/>
      <c r="Z38" s="1" t="e">
        <f t="shared" si="11"/>
        <v>#DIV/0!</v>
      </c>
      <c r="AB38" s="1" t="s">
        <v>76</v>
      </c>
      <c r="AC38" s="1" t="e">
        <f>POWER(AC16,2)</f>
        <v>#VALUE!</v>
      </c>
      <c r="AD38" s="1"/>
      <c r="AE38" s="1" t="s">
        <v>135</v>
      </c>
      <c r="AF38" s="1" t="str">
        <f>IF(AF37="","",AF37/0.718621435811026)</f>
        <v/>
      </c>
      <c r="AG38" s="1"/>
      <c r="AH38" s="1" t="s">
        <v>97</v>
      </c>
      <c r="AI38" s="1">
        <f>IF(X22=0,0,AI33)</f>
        <v>0</v>
      </c>
    </row>
    <row r="39" spans="2:44" ht="15" customHeight="1" x14ac:dyDescent="0.2">
      <c r="B39" s="39" t="s">
        <v>189</v>
      </c>
      <c r="C39" s="41">
        <f>Fångster!C39</f>
        <v>0</v>
      </c>
      <c r="D39" s="41">
        <f>Fångster!D39</f>
        <v>0</v>
      </c>
      <c r="E39" s="40" t="str">
        <f t="shared" si="12"/>
        <v/>
      </c>
      <c r="F39" s="5"/>
      <c r="J39" s="1">
        <f>R39*F39</f>
        <v>0</v>
      </c>
      <c r="K39" s="1">
        <f>R39*G39</f>
        <v>0</v>
      </c>
      <c r="L39" s="1">
        <f>R39*I39</f>
        <v>0</v>
      </c>
      <c r="M39" s="1">
        <f>R39*H39</f>
        <v>0</v>
      </c>
      <c r="N39" s="1">
        <f t="shared" si="10"/>
        <v>0</v>
      </c>
      <c r="O39" s="1">
        <f t="shared" si="10"/>
        <v>0</v>
      </c>
      <c r="P39" s="1"/>
      <c r="Q39" s="1"/>
      <c r="R39" s="1">
        <f>N39+O39</f>
        <v>0</v>
      </c>
      <c r="X39" s="1"/>
      <c r="Y39" s="1"/>
      <c r="Z39" s="1" t="e">
        <f t="shared" si="11"/>
        <v>#DIV/0!</v>
      </c>
      <c r="AB39" s="1" t="s">
        <v>77</v>
      </c>
      <c r="AC39" s="1" t="e">
        <f>POWER(AC19,2)</f>
        <v>#VALUE!</v>
      </c>
      <c r="AD39" s="1"/>
      <c r="AE39" s="1" t="s">
        <v>136</v>
      </c>
      <c r="AF39" s="1" t="e">
        <f>-1.90280668580514+(0.359663932576588*AC16)+(-0.0723165226265136*AC42)+(0.270232630085571*AC37)+(1.33821191193187*AC33)+(0.135583095711685*AC23)</f>
        <v>#VALUE!</v>
      </c>
      <c r="AG39" s="1"/>
      <c r="AH39" s="1" t="s">
        <v>98</v>
      </c>
      <c r="AI39" s="1">
        <f>IF(X22=0,0,AI34-AI38)</f>
        <v>0</v>
      </c>
    </row>
    <row r="40" spans="2:44" ht="15" customHeight="1" x14ac:dyDescent="0.2">
      <c r="B40" s="39" t="s">
        <v>27</v>
      </c>
      <c r="C40" s="41">
        <f>Fångster!C40</f>
        <v>0</v>
      </c>
      <c r="D40" s="41">
        <f>Fångster!D40</f>
        <v>0</v>
      </c>
      <c r="E40" s="40" t="str">
        <f t="shared" si="12"/>
        <v/>
      </c>
      <c r="F40" s="5"/>
      <c r="J40" s="1">
        <f>R40*F40</f>
        <v>0</v>
      </c>
      <c r="K40" s="1">
        <f>R40*G40</f>
        <v>0</v>
      </c>
      <c r="L40" s="1">
        <f>R40*I40</f>
        <v>0</v>
      </c>
      <c r="M40" s="1">
        <f>R40*H40</f>
        <v>0</v>
      </c>
      <c r="N40" s="1">
        <f t="shared" si="10"/>
        <v>0</v>
      </c>
      <c r="O40" s="1">
        <f t="shared" si="10"/>
        <v>0</v>
      </c>
      <c r="P40" s="1"/>
      <c r="Q40" s="1"/>
      <c r="R40" s="1">
        <f>N40+O40</f>
        <v>0</v>
      </c>
      <c r="U40" t="s">
        <v>217</v>
      </c>
      <c r="X40" s="1">
        <f>IF(X22&gt;0,X8/X22,0)</f>
        <v>0</v>
      </c>
      <c r="Y40" s="1"/>
      <c r="Z40" s="1" t="e">
        <f t="shared" si="11"/>
        <v>#DIV/0!</v>
      </c>
      <c r="AB40" s="1" t="s">
        <v>78</v>
      </c>
      <c r="AC40" s="1" t="e">
        <f>POWER(AC23,2)</f>
        <v>#VALUE!</v>
      </c>
      <c r="AD40" s="1"/>
      <c r="AE40" s="1" t="s">
        <v>137</v>
      </c>
      <c r="AF40" s="1" t="e">
        <f>AC12-AF39</f>
        <v>#DIV/0!</v>
      </c>
      <c r="AG40" s="1"/>
      <c r="AH40" s="1" t="s">
        <v>99</v>
      </c>
      <c r="AI40" s="1">
        <f>IF(X22=0,0,AI35-AI38-AI39)</f>
        <v>0</v>
      </c>
    </row>
    <row r="41" spans="2:44" ht="15" customHeight="1" x14ac:dyDescent="0.2">
      <c r="B41" s="39" t="s">
        <v>190</v>
      </c>
      <c r="C41" s="41">
        <f>Fångster!C41</f>
        <v>0</v>
      </c>
      <c r="D41" s="41">
        <f>Fångster!D41</f>
        <v>0</v>
      </c>
      <c r="E41" s="40" t="str">
        <f t="shared" si="12"/>
        <v/>
      </c>
      <c r="F41" s="5"/>
      <c r="H41" s="1">
        <v>1</v>
      </c>
      <c r="J41" s="1">
        <f t="shared" ref="J41:J58" si="13">R41*F41</f>
        <v>0</v>
      </c>
      <c r="K41" s="1">
        <f t="shared" ref="K41:K58" si="14">R41*G41</f>
        <v>0</v>
      </c>
      <c r="L41" s="1">
        <f t="shared" ref="L41:L58" si="15">R41*I41</f>
        <v>0</v>
      </c>
      <c r="M41" s="1">
        <f t="shared" ref="M41:M58" si="16">R41*H41</f>
        <v>0</v>
      </c>
      <c r="N41" s="1">
        <f t="shared" si="10"/>
        <v>0</v>
      </c>
      <c r="O41" s="1">
        <f t="shared" si="10"/>
        <v>0</v>
      </c>
      <c r="P41" s="1"/>
      <c r="Q41" s="1"/>
      <c r="R41" s="1">
        <f t="shared" ref="R41:R58" si="17">N41+O41</f>
        <v>0</v>
      </c>
      <c r="X41" s="1"/>
      <c r="Y41" s="1"/>
      <c r="Z41" s="1" t="e">
        <f t="shared" si="11"/>
        <v>#DIV/0!</v>
      </c>
      <c r="AB41" s="1" t="s">
        <v>79</v>
      </c>
      <c r="AC41" s="1" t="e">
        <f>POWER(AC25,2)</f>
        <v>#VALUE!</v>
      </c>
      <c r="AD41" s="1"/>
      <c r="AE41" s="1" t="s">
        <v>138</v>
      </c>
      <c r="AF41" s="1" t="e">
        <f>AF40/0.286128657049128</f>
        <v>#DIV/0!</v>
      </c>
      <c r="AG41" s="1"/>
      <c r="AH41" s="1" t="s">
        <v>100</v>
      </c>
      <c r="AI41" s="1">
        <f>IF(X22=0,0,AI36-AI40-AI39-AI38)</f>
        <v>0</v>
      </c>
    </row>
    <row r="42" spans="2:44" ht="15" customHeight="1" x14ac:dyDescent="0.2">
      <c r="B42" s="39" t="s">
        <v>21</v>
      </c>
      <c r="C42" s="41">
        <f>Fångster!C42</f>
        <v>0</v>
      </c>
      <c r="D42" s="41">
        <f>Fångster!D42</f>
        <v>0</v>
      </c>
      <c r="E42" s="40" t="str">
        <f t="shared" si="12"/>
        <v/>
      </c>
      <c r="F42" s="5"/>
      <c r="G42" s="1">
        <v>1</v>
      </c>
      <c r="J42" s="1">
        <f t="shared" si="13"/>
        <v>0</v>
      </c>
      <c r="K42" s="1">
        <f t="shared" si="14"/>
        <v>0</v>
      </c>
      <c r="L42" s="1">
        <f t="shared" si="15"/>
        <v>0</v>
      </c>
      <c r="M42" s="1">
        <f t="shared" si="16"/>
        <v>0</v>
      </c>
      <c r="N42" s="1">
        <f t="shared" si="10"/>
        <v>0</v>
      </c>
      <c r="O42" s="1">
        <f t="shared" si="10"/>
        <v>0</v>
      </c>
      <c r="P42" s="1"/>
      <c r="Q42" s="1"/>
      <c r="R42" s="1">
        <f t="shared" si="17"/>
        <v>0</v>
      </c>
      <c r="U42" t="s">
        <v>94</v>
      </c>
      <c r="X42" s="1" t="str">
        <f>IF(X22=0,"Ja","Nej")</f>
        <v>Ja</v>
      </c>
      <c r="Y42" s="1"/>
      <c r="Z42" s="1" t="e">
        <f t="shared" si="11"/>
        <v>#DIV/0!</v>
      </c>
      <c r="AB42" s="1" t="s">
        <v>80</v>
      </c>
      <c r="AC42" s="1" t="e">
        <f>POWER(AC28,2)</f>
        <v>#VALUE!</v>
      </c>
      <c r="AD42" s="1"/>
      <c r="AE42" s="1" t="s">
        <v>139</v>
      </c>
      <c r="AF42" s="1" t="e">
        <f>-0.0941070768686158+(0.139626153371958*AC43)+(0.114878177940807*AC39)+(0.406495241079475*AC16)+(-0.369001239380415*AC23)+(0.262304099047311*AC40)+(-0.0637244672275599*AC35)</f>
        <v>#VALUE!</v>
      </c>
      <c r="AG42" s="1"/>
      <c r="AH42" s="1" t="s">
        <v>101</v>
      </c>
      <c r="AI42" s="1">
        <f>IF(X22=0,1,AI37-AI41-AI40-AI39-AI38)</f>
        <v>1</v>
      </c>
    </row>
    <row r="43" spans="2:44" ht="15" customHeight="1" x14ac:dyDescent="0.2">
      <c r="B43" s="39" t="s">
        <v>191</v>
      </c>
      <c r="C43" s="41">
        <f>Fångster!C43</f>
        <v>0</v>
      </c>
      <c r="D43" s="41">
        <f>Fångster!D43</f>
        <v>0</v>
      </c>
      <c r="E43" s="40" t="str">
        <f t="shared" si="12"/>
        <v/>
      </c>
      <c r="F43" s="5">
        <v>1</v>
      </c>
      <c r="H43" s="1">
        <v>1</v>
      </c>
      <c r="J43" s="1">
        <f t="shared" si="13"/>
        <v>0</v>
      </c>
      <c r="K43" s="1">
        <f t="shared" si="14"/>
        <v>0</v>
      </c>
      <c r="L43" s="1">
        <f t="shared" si="15"/>
        <v>0</v>
      </c>
      <c r="M43" s="1">
        <f t="shared" si="16"/>
        <v>0</v>
      </c>
      <c r="N43" s="1">
        <f t="shared" si="10"/>
        <v>0</v>
      </c>
      <c r="O43" s="1">
        <f t="shared" si="10"/>
        <v>0</v>
      </c>
      <c r="P43" s="1">
        <f>IF(R43&gt;0,1,0)</f>
        <v>0</v>
      </c>
      <c r="Q43" s="1">
        <f>IF(D43&gt;0,1,0)</f>
        <v>0</v>
      </c>
      <c r="R43" s="1">
        <f t="shared" si="17"/>
        <v>0</v>
      </c>
      <c r="X43" s="1"/>
      <c r="Y43" s="1"/>
      <c r="Z43" s="1" t="e">
        <f t="shared" si="11"/>
        <v>#DIV/0!</v>
      </c>
      <c r="AB43" s="1" t="s">
        <v>81</v>
      </c>
      <c r="AC43" s="1">
        <f>POWER(AC30,2)</f>
        <v>0</v>
      </c>
      <c r="AD43" s="1"/>
      <c r="AE43" s="1" t="s">
        <v>140</v>
      </c>
      <c r="AF43" s="1" t="e">
        <f>AC7-AF42</f>
        <v>#VALUE!</v>
      </c>
      <c r="AG43" s="1"/>
      <c r="AH43" s="1" t="s">
        <v>241</v>
      </c>
      <c r="AI43" s="1">
        <f>SUM(AI38:AI42)</f>
        <v>1</v>
      </c>
    </row>
    <row r="44" spans="2:44" ht="15" customHeight="1" x14ac:dyDescent="0.2">
      <c r="B44" s="39" t="s">
        <v>192</v>
      </c>
      <c r="C44" s="41">
        <f>Fångster!C44</f>
        <v>0</v>
      </c>
      <c r="D44" s="41">
        <f>Fångster!D44</f>
        <v>0</v>
      </c>
      <c r="E44" s="40" t="str">
        <f t="shared" si="12"/>
        <v/>
      </c>
      <c r="F44" s="5"/>
      <c r="J44" s="1">
        <f t="shared" si="13"/>
        <v>0</v>
      </c>
      <c r="K44" s="1">
        <f t="shared" si="14"/>
        <v>0</v>
      </c>
      <c r="L44" s="1">
        <f t="shared" si="15"/>
        <v>0</v>
      </c>
      <c r="M44" s="1">
        <f t="shared" si="16"/>
        <v>0</v>
      </c>
      <c r="N44" s="1">
        <f t="shared" si="10"/>
        <v>0</v>
      </c>
      <c r="O44" s="1">
        <f t="shared" si="10"/>
        <v>0</v>
      </c>
      <c r="P44" s="1"/>
      <c r="Q44" s="1"/>
      <c r="R44" s="1">
        <f t="shared" si="17"/>
        <v>0</v>
      </c>
      <c r="X44" s="1"/>
      <c r="Y44" s="1"/>
      <c r="Z44" s="1" t="e">
        <f t="shared" si="11"/>
        <v>#DIV/0!</v>
      </c>
      <c r="AB44" s="1" t="s">
        <v>82</v>
      </c>
      <c r="AC44" s="1" t="e">
        <f>POWER(AC33,2)</f>
        <v>#VALUE!</v>
      </c>
      <c r="AD44" s="1"/>
      <c r="AE44" s="1" t="s">
        <v>141</v>
      </c>
      <c r="AF44" s="1" t="e">
        <f>AF43/0.15184125998119</f>
        <v>#VALUE!</v>
      </c>
      <c r="AG44" s="1"/>
      <c r="AH44" s="1" t="s">
        <v>242</v>
      </c>
      <c r="AI44" s="1">
        <f>SUM(AI38:AI39)</f>
        <v>0</v>
      </c>
    </row>
    <row r="45" spans="2:44" ht="15" customHeight="1" x14ac:dyDescent="0.2">
      <c r="B45" s="39" t="s">
        <v>193</v>
      </c>
      <c r="C45" s="41">
        <f>Fångster!C45</f>
        <v>0</v>
      </c>
      <c r="D45" s="41">
        <f>Fångster!D45</f>
        <v>0</v>
      </c>
      <c r="E45" s="40" t="str">
        <f t="shared" si="12"/>
        <v/>
      </c>
      <c r="F45" s="5"/>
      <c r="J45" s="1">
        <f t="shared" si="13"/>
        <v>0</v>
      </c>
      <c r="K45" s="1">
        <f t="shared" si="14"/>
        <v>0</v>
      </c>
      <c r="L45" s="1">
        <f t="shared" si="15"/>
        <v>0</v>
      </c>
      <c r="M45" s="1">
        <f t="shared" si="16"/>
        <v>0</v>
      </c>
      <c r="N45" s="1">
        <f t="shared" si="10"/>
        <v>0</v>
      </c>
      <c r="O45" s="1">
        <f t="shared" si="10"/>
        <v>0</v>
      </c>
      <c r="P45" s="1"/>
      <c r="Q45" s="1"/>
      <c r="R45" s="1">
        <f t="shared" si="17"/>
        <v>0</v>
      </c>
      <c r="X45" s="1"/>
      <c r="Y45" s="1"/>
      <c r="Z45" s="1" t="e">
        <f t="shared" si="11"/>
        <v>#DIV/0!</v>
      </c>
      <c r="AB45" s="1" t="s">
        <v>83</v>
      </c>
      <c r="AC45" s="1" t="e">
        <f>POWER(AC35,2)</f>
        <v>#VALUE!</v>
      </c>
      <c r="AD45" s="1"/>
      <c r="AE45" s="1" t="s">
        <v>142</v>
      </c>
      <c r="AF45" s="1" t="e">
        <f>IF(AC13=1,AF11,IF(AC13=2,AF14,AF17))</f>
        <v>#VALUE!</v>
      </c>
      <c r="AG45" s="1"/>
      <c r="AH45" s="1" t="s">
        <v>243</v>
      </c>
      <c r="AI45" s="1">
        <f>SUM(AI40:AI42)</f>
        <v>1</v>
      </c>
    </row>
    <row r="46" spans="2:44" ht="15" customHeight="1" x14ac:dyDescent="0.2">
      <c r="B46" s="39" t="s">
        <v>22</v>
      </c>
      <c r="C46" s="41">
        <f>Fångster!C46</f>
        <v>0</v>
      </c>
      <c r="D46" s="41">
        <f>Fångster!D46</f>
        <v>0</v>
      </c>
      <c r="E46" s="40" t="str">
        <f t="shared" si="12"/>
        <v/>
      </c>
      <c r="F46" s="5"/>
      <c r="J46" s="1">
        <f t="shared" si="13"/>
        <v>0</v>
      </c>
      <c r="K46" s="1">
        <f t="shared" si="14"/>
        <v>0</v>
      </c>
      <c r="L46" s="1">
        <f t="shared" si="15"/>
        <v>0</v>
      </c>
      <c r="M46" s="1">
        <f t="shared" si="16"/>
        <v>0</v>
      </c>
      <c r="N46" s="1">
        <f t="shared" si="10"/>
        <v>0</v>
      </c>
      <c r="O46" s="1">
        <f t="shared" si="10"/>
        <v>0</v>
      </c>
      <c r="P46" s="1"/>
      <c r="Q46" s="1"/>
      <c r="R46" s="1">
        <f t="shared" si="17"/>
        <v>0</v>
      </c>
      <c r="X46" s="1"/>
      <c r="Y46" s="1"/>
      <c r="Z46" s="1" t="e">
        <f t="shared" si="11"/>
        <v>#DIV/0!</v>
      </c>
      <c r="AB46" s="1" t="s">
        <v>84</v>
      </c>
      <c r="AC46" s="1" t="e">
        <f>POWER(AC37,2)</f>
        <v>#VALUE!</v>
      </c>
      <c r="AD46" s="1"/>
      <c r="AE46" s="1" t="s">
        <v>143</v>
      </c>
      <c r="AF46" s="1" t="e">
        <f>IF(AC13=1,AF23,AF20)</f>
        <v>#VALUE!</v>
      </c>
      <c r="AG46" s="1"/>
      <c r="AH46" s="1" t="s">
        <v>244</v>
      </c>
      <c r="AI46" s="1">
        <f>ABS(AI39-AI40)</f>
        <v>0</v>
      </c>
    </row>
    <row r="47" spans="2:44" ht="15" customHeight="1" x14ac:dyDescent="0.2">
      <c r="B47" s="39" t="s">
        <v>19</v>
      </c>
      <c r="C47" s="41">
        <f>Fångster!C47</f>
        <v>0</v>
      </c>
      <c r="D47" s="41">
        <f>Fångster!D47</f>
        <v>0</v>
      </c>
      <c r="E47" s="40" t="str">
        <f t="shared" si="12"/>
        <v/>
      </c>
      <c r="F47" s="5"/>
      <c r="H47" s="1">
        <v>1</v>
      </c>
      <c r="J47" s="1">
        <f t="shared" si="13"/>
        <v>0</v>
      </c>
      <c r="K47" s="1">
        <f t="shared" si="14"/>
        <v>0</v>
      </c>
      <c r="L47" s="1">
        <f t="shared" si="15"/>
        <v>0</v>
      </c>
      <c r="M47" s="1">
        <f t="shared" si="16"/>
        <v>0</v>
      </c>
      <c r="N47" s="1">
        <f t="shared" si="10"/>
        <v>0</v>
      </c>
      <c r="O47" s="1">
        <f t="shared" si="10"/>
        <v>0</v>
      </c>
      <c r="P47" s="1"/>
      <c r="Q47" s="1"/>
      <c r="R47" s="1">
        <f t="shared" si="17"/>
        <v>0</v>
      </c>
      <c r="X47" s="1"/>
      <c r="Y47" s="1"/>
      <c r="Z47" s="1" t="e">
        <f t="shared" si="11"/>
        <v>#DIV/0!</v>
      </c>
      <c r="AB47" s="1"/>
      <c r="AC47" s="1"/>
      <c r="AD47" s="1"/>
      <c r="AE47" s="1" t="s">
        <v>96</v>
      </c>
      <c r="AF47" s="1" t="str">
        <f>IF(AL12="","",0.1318231353392+(0.0951366515806*AC19)+(-0.003852746994631*AC41)+(-0.03476971457617*AC23)+(-0.04000931284196*AC37)+(0.09875477960582*AC16))</f>
        <v/>
      </c>
      <c r="AG47" s="1"/>
      <c r="AH47" s="1"/>
      <c r="AI47" s="1"/>
    </row>
    <row r="48" spans="2:44" ht="15" customHeight="1" x14ac:dyDescent="0.2">
      <c r="B48" s="39" t="s">
        <v>194</v>
      </c>
      <c r="C48" s="41">
        <f>Fångster!C48</f>
        <v>0</v>
      </c>
      <c r="D48" s="41">
        <f>Fångster!D48</f>
        <v>0</v>
      </c>
      <c r="E48" s="40" t="str">
        <f t="shared" si="12"/>
        <v/>
      </c>
      <c r="F48" s="5">
        <v>1</v>
      </c>
      <c r="H48" s="1">
        <v>1</v>
      </c>
      <c r="J48" s="1">
        <f t="shared" si="13"/>
        <v>0</v>
      </c>
      <c r="K48" s="1">
        <f t="shared" si="14"/>
        <v>0</v>
      </c>
      <c r="L48" s="1">
        <f t="shared" si="15"/>
        <v>0</v>
      </c>
      <c r="M48" s="1">
        <f t="shared" si="16"/>
        <v>0</v>
      </c>
      <c r="N48" s="1">
        <f t="shared" si="10"/>
        <v>0</v>
      </c>
      <c r="O48" s="1">
        <f t="shared" si="10"/>
        <v>0</v>
      </c>
      <c r="P48" s="1"/>
      <c r="Q48" s="1"/>
      <c r="R48" s="1">
        <f t="shared" si="17"/>
        <v>0</v>
      </c>
      <c r="X48" s="1"/>
      <c r="Y48" s="1"/>
      <c r="Z48" s="1" t="e">
        <f t="shared" si="11"/>
        <v>#DIV/0!</v>
      </c>
      <c r="AB48" s="1"/>
      <c r="AC48" s="1"/>
      <c r="AD48" s="1"/>
      <c r="AE48" s="1"/>
      <c r="AF48" s="1"/>
      <c r="AG48" s="1"/>
      <c r="AH48" s="1"/>
      <c r="AI48" s="1"/>
    </row>
    <row r="49" spans="2:35" ht="15" customHeight="1" x14ac:dyDescent="0.2">
      <c r="B49" s="39" t="s">
        <v>195</v>
      </c>
      <c r="C49" s="41">
        <f>Fångster!C49</f>
        <v>0</v>
      </c>
      <c r="D49" s="41">
        <f>Fångster!D49</f>
        <v>0</v>
      </c>
      <c r="E49" s="40" t="str">
        <f t="shared" si="12"/>
        <v/>
      </c>
      <c r="F49" s="5"/>
      <c r="H49" s="1">
        <v>1</v>
      </c>
      <c r="J49" s="1">
        <f t="shared" si="13"/>
        <v>0</v>
      </c>
      <c r="K49" s="1">
        <f t="shared" si="14"/>
        <v>0</v>
      </c>
      <c r="L49" s="1">
        <f t="shared" si="15"/>
        <v>0</v>
      </c>
      <c r="M49" s="1">
        <f t="shared" si="16"/>
        <v>0</v>
      </c>
      <c r="N49" s="1">
        <f t="shared" si="10"/>
        <v>0</v>
      </c>
      <c r="O49" s="1">
        <f t="shared" si="10"/>
        <v>0</v>
      </c>
      <c r="P49" s="1"/>
      <c r="Q49" s="1"/>
      <c r="R49" s="1">
        <f t="shared" si="17"/>
        <v>0</v>
      </c>
      <c r="X49" s="1"/>
      <c r="Y49" s="1"/>
      <c r="Z49" s="1" t="e">
        <f t="shared" si="11"/>
        <v>#DIV/0!</v>
      </c>
      <c r="AB49" s="1"/>
      <c r="AC49" s="1"/>
      <c r="AD49" s="1"/>
      <c r="AE49" s="1"/>
      <c r="AF49" s="1"/>
      <c r="AG49" s="1"/>
      <c r="AH49" s="1"/>
      <c r="AI49" s="1"/>
    </row>
    <row r="50" spans="2:35" ht="15" customHeight="1" x14ac:dyDescent="0.2">
      <c r="B50" s="39" t="s">
        <v>196</v>
      </c>
      <c r="C50" s="41">
        <f>Fångster!C50</f>
        <v>0</v>
      </c>
      <c r="D50" s="41">
        <f>Fångster!D50</f>
        <v>0</v>
      </c>
      <c r="E50" s="40" t="str">
        <f t="shared" si="12"/>
        <v/>
      </c>
      <c r="F50" s="5"/>
      <c r="J50" s="1">
        <f t="shared" si="13"/>
        <v>0</v>
      </c>
      <c r="K50" s="1">
        <f t="shared" si="14"/>
        <v>0</v>
      </c>
      <c r="L50" s="1">
        <f t="shared" si="15"/>
        <v>0</v>
      </c>
      <c r="M50" s="1">
        <f t="shared" si="16"/>
        <v>0</v>
      </c>
      <c r="N50" s="1">
        <f t="shared" si="10"/>
        <v>0</v>
      </c>
      <c r="O50" s="1">
        <f t="shared" si="10"/>
        <v>0</v>
      </c>
      <c r="P50" s="1"/>
      <c r="Q50" s="1"/>
      <c r="R50" s="1">
        <f t="shared" si="17"/>
        <v>0</v>
      </c>
      <c r="X50" s="1"/>
      <c r="Y50" s="1"/>
      <c r="Z50" s="1" t="e">
        <f t="shared" si="11"/>
        <v>#DIV/0!</v>
      </c>
      <c r="AB50" s="1"/>
      <c r="AC50" s="1"/>
      <c r="AD50" s="1"/>
      <c r="AE50" s="1"/>
      <c r="AF50" s="1"/>
      <c r="AG50" s="1"/>
      <c r="AH50" s="1"/>
      <c r="AI50" s="1"/>
    </row>
    <row r="51" spans="2:35" ht="15" customHeight="1" x14ac:dyDescent="0.2">
      <c r="B51" s="39" t="s">
        <v>197</v>
      </c>
      <c r="C51" s="41">
        <f>Fångster!C51</f>
        <v>0</v>
      </c>
      <c r="D51" s="41">
        <f>Fångster!D51</f>
        <v>0</v>
      </c>
      <c r="E51" s="40" t="str">
        <f t="shared" si="12"/>
        <v/>
      </c>
      <c r="F51" s="5"/>
      <c r="G51" s="1">
        <v>1</v>
      </c>
      <c r="J51" s="1">
        <f t="shared" si="13"/>
        <v>0</v>
      </c>
      <c r="K51" s="1">
        <f t="shared" si="14"/>
        <v>0</v>
      </c>
      <c r="L51" s="1">
        <f t="shared" si="15"/>
        <v>0</v>
      </c>
      <c r="M51" s="1">
        <f t="shared" si="16"/>
        <v>0</v>
      </c>
      <c r="N51" s="1">
        <f t="shared" ref="N51:O58" si="18">IF(C51&lt;0,0,IF(C51="",0,C51))</f>
        <v>0</v>
      </c>
      <c r="O51" s="1">
        <f t="shared" si="18"/>
        <v>0</v>
      </c>
      <c r="P51" s="1"/>
      <c r="Q51" s="1"/>
      <c r="R51" s="1">
        <f t="shared" si="17"/>
        <v>0</v>
      </c>
      <c r="X51" s="1"/>
      <c r="Y51" s="1"/>
      <c r="Z51" s="1" t="e">
        <f t="shared" si="11"/>
        <v>#DIV/0!</v>
      </c>
      <c r="AB51" s="1"/>
      <c r="AC51" s="1"/>
      <c r="AD51" s="1"/>
      <c r="AE51" s="1"/>
      <c r="AF51" s="1"/>
      <c r="AG51" s="1"/>
      <c r="AH51" s="1"/>
      <c r="AI51" s="1"/>
    </row>
    <row r="52" spans="2:35" ht="15" customHeight="1" x14ac:dyDescent="0.2">
      <c r="B52" s="39" t="s">
        <v>198</v>
      </c>
      <c r="C52" s="41">
        <f>Fångster!C52</f>
        <v>0</v>
      </c>
      <c r="D52" s="41">
        <f>Fångster!D52</f>
        <v>0</v>
      </c>
      <c r="E52" s="40" t="str">
        <f t="shared" si="12"/>
        <v/>
      </c>
      <c r="F52" s="5"/>
      <c r="G52" s="1">
        <v>1</v>
      </c>
      <c r="J52" s="1">
        <f t="shared" si="13"/>
        <v>0</v>
      </c>
      <c r="K52" s="1">
        <f t="shared" si="14"/>
        <v>0</v>
      </c>
      <c r="L52" s="1">
        <f t="shared" si="15"/>
        <v>0</v>
      </c>
      <c r="M52" s="1">
        <f t="shared" si="16"/>
        <v>0</v>
      </c>
      <c r="N52" s="1">
        <f t="shared" si="18"/>
        <v>0</v>
      </c>
      <c r="O52" s="1">
        <f t="shared" si="18"/>
        <v>0</v>
      </c>
      <c r="P52" s="1"/>
      <c r="Q52" s="1"/>
      <c r="R52" s="1">
        <f t="shared" si="17"/>
        <v>0</v>
      </c>
      <c r="X52" s="1"/>
      <c r="Y52" s="1"/>
      <c r="Z52" s="1" t="e">
        <f t="shared" si="11"/>
        <v>#DIV/0!</v>
      </c>
      <c r="AB52" s="1"/>
      <c r="AC52" s="1"/>
      <c r="AD52" s="1"/>
      <c r="AE52" s="1"/>
      <c r="AF52" s="1"/>
      <c r="AG52" s="1"/>
      <c r="AH52" s="1"/>
      <c r="AI52" s="1"/>
    </row>
    <row r="53" spans="2:35" ht="15" customHeight="1" x14ac:dyDescent="0.2">
      <c r="B53" s="39" t="s">
        <v>199</v>
      </c>
      <c r="C53" s="41">
        <f>Fångster!C53</f>
        <v>0</v>
      </c>
      <c r="D53" s="41">
        <f>Fångster!D53</f>
        <v>0</v>
      </c>
      <c r="E53" s="40" t="str">
        <f t="shared" si="12"/>
        <v/>
      </c>
      <c r="F53" s="5"/>
      <c r="G53" s="1">
        <v>1</v>
      </c>
      <c r="J53" s="1">
        <f t="shared" si="13"/>
        <v>0</v>
      </c>
      <c r="K53" s="1">
        <f t="shared" si="14"/>
        <v>0</v>
      </c>
      <c r="L53" s="1">
        <f t="shared" si="15"/>
        <v>0</v>
      </c>
      <c r="M53" s="1">
        <f t="shared" si="16"/>
        <v>0</v>
      </c>
      <c r="N53" s="1">
        <f t="shared" si="18"/>
        <v>0</v>
      </c>
      <c r="O53" s="1">
        <f t="shared" si="18"/>
        <v>0</v>
      </c>
      <c r="P53" s="1"/>
      <c r="Q53" s="1"/>
      <c r="R53" s="1">
        <f t="shared" si="17"/>
        <v>0</v>
      </c>
      <c r="X53" s="1"/>
      <c r="Y53" s="1"/>
      <c r="Z53" s="1" t="e">
        <f>POWER(R55/$X$8,2)</f>
        <v>#DIV/0!</v>
      </c>
      <c r="AB53" s="1"/>
      <c r="AC53" s="1"/>
      <c r="AD53" s="1"/>
      <c r="AE53" s="1"/>
      <c r="AF53" s="1"/>
      <c r="AG53" s="1"/>
      <c r="AH53" s="1"/>
      <c r="AI53" s="1"/>
    </row>
    <row r="54" spans="2:35" ht="15" customHeight="1" x14ac:dyDescent="0.2">
      <c r="B54" s="5" t="s">
        <v>439</v>
      </c>
      <c r="C54" s="41">
        <f>Fångster!C54</f>
        <v>0</v>
      </c>
      <c r="D54" s="41">
        <f>Fångster!D54</f>
        <v>0</v>
      </c>
      <c r="J54" s="1">
        <f t="shared" si="13"/>
        <v>0</v>
      </c>
      <c r="K54" s="1">
        <f t="shared" si="14"/>
        <v>0</v>
      </c>
      <c r="L54" s="1">
        <f t="shared" si="15"/>
        <v>0</v>
      </c>
      <c r="M54" s="1">
        <f t="shared" si="16"/>
        <v>0</v>
      </c>
      <c r="N54" s="1">
        <f t="shared" si="18"/>
        <v>0</v>
      </c>
      <c r="O54" s="1">
        <f t="shared" si="18"/>
        <v>0</v>
      </c>
      <c r="P54" s="1"/>
      <c r="Q54" s="1"/>
      <c r="R54" s="1">
        <f t="shared" si="17"/>
        <v>0</v>
      </c>
      <c r="X54" s="1"/>
      <c r="Y54" s="1"/>
      <c r="Z54" s="1" t="e">
        <f>POWER(R56/$X$8,2)</f>
        <v>#DIV/0!</v>
      </c>
      <c r="AB54" s="1"/>
      <c r="AC54" s="1"/>
      <c r="AD54" s="1"/>
      <c r="AE54" s="1"/>
      <c r="AF54" s="1"/>
      <c r="AG54" s="1"/>
      <c r="AH54" s="1"/>
      <c r="AI54" s="1"/>
    </row>
    <row r="55" spans="2:35" ht="15" customHeight="1" x14ac:dyDescent="0.2">
      <c r="B55" s="39" t="s">
        <v>18</v>
      </c>
      <c r="C55" s="41">
        <f>Fångster!C55</f>
        <v>0</v>
      </c>
      <c r="D55" s="41">
        <f>Fångster!D55</f>
        <v>0</v>
      </c>
      <c r="E55" s="40" t="str">
        <f>IF(OR(C55&lt;0,D55&lt;0,C55="",D55=""),"Ska vara 0 eller positiva tal.","")</f>
        <v/>
      </c>
      <c r="F55" s="5"/>
      <c r="H55" s="1">
        <v>1</v>
      </c>
      <c r="J55" s="1">
        <f t="shared" si="13"/>
        <v>0</v>
      </c>
      <c r="K55" s="1">
        <f t="shared" si="14"/>
        <v>0</v>
      </c>
      <c r="L55" s="1">
        <f t="shared" si="15"/>
        <v>0</v>
      </c>
      <c r="M55" s="1">
        <f t="shared" si="16"/>
        <v>0</v>
      </c>
      <c r="N55" s="1">
        <f t="shared" si="18"/>
        <v>0</v>
      </c>
      <c r="O55" s="1">
        <f t="shared" si="18"/>
        <v>0</v>
      </c>
      <c r="P55" s="1"/>
      <c r="Q55" s="1"/>
      <c r="R55" s="1">
        <f t="shared" si="17"/>
        <v>0</v>
      </c>
      <c r="X55" s="1"/>
      <c r="Y55" s="1"/>
      <c r="Z55" s="1" t="e">
        <f>POWER(R58/$X$8,2)</f>
        <v>#DIV/0!</v>
      </c>
      <c r="AB55" s="1"/>
      <c r="AC55" s="1"/>
      <c r="AD55" s="1"/>
      <c r="AE55" s="1"/>
      <c r="AF55" s="1"/>
      <c r="AG55" s="1"/>
      <c r="AH55" s="1"/>
      <c r="AI55" s="1"/>
    </row>
    <row r="56" spans="2:35" ht="15" customHeight="1" x14ac:dyDescent="0.2">
      <c r="B56" s="39" t="s">
        <v>200</v>
      </c>
      <c r="C56" s="41">
        <f>Fångster!C56</f>
        <v>0</v>
      </c>
      <c r="D56" s="41">
        <f>Fångster!D56</f>
        <v>0</v>
      </c>
      <c r="E56" s="40" t="str">
        <f>IF(OR(C56&lt;0,D56&lt;0,C56="",D56=""),"Ska vara 0 eller positiva tal.","")</f>
        <v/>
      </c>
      <c r="F56" s="5"/>
      <c r="G56" s="1">
        <v>1</v>
      </c>
      <c r="J56" s="1">
        <f t="shared" si="13"/>
        <v>0</v>
      </c>
      <c r="K56" s="1">
        <f t="shared" si="14"/>
        <v>0</v>
      </c>
      <c r="L56" s="1">
        <f t="shared" si="15"/>
        <v>0</v>
      </c>
      <c r="M56" s="1">
        <f t="shared" si="16"/>
        <v>0</v>
      </c>
      <c r="N56" s="1">
        <f t="shared" si="18"/>
        <v>0</v>
      </c>
      <c r="O56" s="1">
        <f t="shared" si="18"/>
        <v>0</v>
      </c>
      <c r="P56" s="1"/>
      <c r="Q56" s="1"/>
      <c r="R56" s="1">
        <f t="shared" si="17"/>
        <v>0</v>
      </c>
      <c r="X56" s="1"/>
      <c r="Y56" s="1"/>
      <c r="Z56" s="1" t="e">
        <f>POWER(R59/$X$8,2)</f>
        <v>#DIV/0!</v>
      </c>
      <c r="AB56" s="1"/>
      <c r="AC56" s="1"/>
      <c r="AD56" s="1"/>
      <c r="AE56" s="1"/>
      <c r="AF56" s="1"/>
      <c r="AG56" s="1"/>
      <c r="AH56" s="1"/>
      <c r="AI56" s="1"/>
    </row>
    <row r="57" spans="2:35" x14ac:dyDescent="0.2">
      <c r="B57" s="5" t="s">
        <v>440</v>
      </c>
      <c r="C57" s="41">
        <f>Fångster!C57</f>
        <v>0</v>
      </c>
      <c r="D57" s="41">
        <f>Fångster!D57</f>
        <v>0</v>
      </c>
      <c r="J57" s="1">
        <f t="shared" si="13"/>
        <v>0</v>
      </c>
      <c r="K57" s="1">
        <f t="shared" si="14"/>
        <v>0</v>
      </c>
      <c r="L57" s="1">
        <f t="shared" si="15"/>
        <v>0</v>
      </c>
      <c r="M57" s="1">
        <f t="shared" si="16"/>
        <v>0</v>
      </c>
      <c r="N57" s="1">
        <f t="shared" si="18"/>
        <v>0</v>
      </c>
      <c r="O57" s="1">
        <f t="shared" si="18"/>
        <v>0</v>
      </c>
      <c r="P57" s="1"/>
      <c r="Q57" s="1"/>
      <c r="R57" s="1">
        <f t="shared" si="17"/>
        <v>0</v>
      </c>
      <c r="X57" s="1"/>
      <c r="Y57" s="1" t="s">
        <v>41</v>
      </c>
      <c r="Z57" s="1" t="e">
        <f>SUM(Z7:Z56)</f>
        <v>#DIV/0!</v>
      </c>
      <c r="AB57" s="1"/>
      <c r="AC57" s="1"/>
      <c r="AD57" s="1"/>
      <c r="AE57" s="1"/>
      <c r="AF57" s="1"/>
      <c r="AG57" s="1"/>
      <c r="AH57" s="1"/>
      <c r="AI57" s="1"/>
    </row>
    <row r="58" spans="2:35" x14ac:dyDescent="0.2">
      <c r="B58" s="39" t="s">
        <v>23</v>
      </c>
      <c r="C58" s="41">
        <f>Fångster!C58</f>
        <v>0</v>
      </c>
      <c r="D58" s="41">
        <f>Fångster!D58</f>
        <v>0</v>
      </c>
      <c r="E58" s="40" t="str">
        <f>IF(OR(C58&lt;0,D58&lt;0,C58="",D58=""),"Ska vara 0 eller positiva tal.","")</f>
        <v/>
      </c>
      <c r="F58" s="5"/>
      <c r="H58" s="1">
        <v>1</v>
      </c>
      <c r="J58" s="1">
        <f t="shared" si="13"/>
        <v>0</v>
      </c>
      <c r="K58" s="1">
        <f t="shared" si="14"/>
        <v>0</v>
      </c>
      <c r="L58" s="1">
        <f t="shared" si="15"/>
        <v>0</v>
      </c>
      <c r="M58" s="1">
        <f t="shared" si="16"/>
        <v>0</v>
      </c>
      <c r="N58" s="1">
        <f t="shared" si="18"/>
        <v>0</v>
      </c>
      <c r="O58" s="1">
        <f t="shared" si="18"/>
        <v>0</v>
      </c>
      <c r="P58" s="1"/>
      <c r="Q58" s="1"/>
      <c r="R58" s="1">
        <f t="shared" si="17"/>
        <v>0</v>
      </c>
    </row>
    <row r="59" spans="2:35" x14ac:dyDescent="0.2">
      <c r="B59" s="39" t="s">
        <v>12</v>
      </c>
      <c r="C59" s="41">
        <f>Fångster!C59</f>
        <v>0</v>
      </c>
      <c r="D59" s="41">
        <f>Fångster!D59</f>
        <v>0</v>
      </c>
      <c r="E59" s="40" t="str">
        <f>IF(OR(C59&lt;0,D59&lt;0,C59="",D59=""),"Ska vara 0 eller positiva tal.","")</f>
        <v/>
      </c>
      <c r="F59" s="5"/>
      <c r="G59" s="1">
        <v>1</v>
      </c>
      <c r="H59" s="5"/>
      <c r="J59" s="1">
        <f>R59*F59</f>
        <v>0</v>
      </c>
      <c r="K59" s="1">
        <f>R59*G59</f>
        <v>0</v>
      </c>
      <c r="L59" s="1">
        <f>R59*I59</f>
        <v>0</v>
      </c>
      <c r="M59" s="1">
        <f>R59*H59</f>
        <v>0</v>
      </c>
      <c r="N59" s="1">
        <f>IF(C59&lt;0,0,IF(C59="",0,C59))</f>
        <v>0</v>
      </c>
      <c r="O59" s="1">
        <f>IF(D59&lt;0,0,IF(D59="",0,D59))</f>
        <v>0</v>
      </c>
      <c r="P59" s="1"/>
      <c r="Q59" s="1"/>
      <c r="R59" s="1"/>
    </row>
    <row r="60" spans="2:35" x14ac:dyDescent="0.2">
      <c r="C60" s="5"/>
      <c r="D60" s="5"/>
      <c r="E60" s="5"/>
      <c r="N60" s="1"/>
      <c r="O60" s="1"/>
      <c r="P60" s="1">
        <f>SUM(P7,P11,P27,P43)</f>
        <v>0</v>
      </c>
      <c r="Q60" s="1">
        <f>SUM(Q7,Q11,Q27,Q43)</f>
        <v>0</v>
      </c>
      <c r="R60" s="1"/>
    </row>
    <row r="61" spans="2:35" ht="15" x14ac:dyDescent="0.25">
      <c r="B61" s="1" t="s">
        <v>28</v>
      </c>
      <c r="C61" s="1">
        <f>IF(X6="Ström",C7,IF(X6="",C7,0))</f>
        <v>0</v>
      </c>
      <c r="D61" s="1">
        <f>IF(X6="Ström",D7,IF(X6="",D7,0))</f>
        <v>0</v>
      </c>
      <c r="F61" s="1">
        <v>1</v>
      </c>
      <c r="G61" s="2"/>
      <c r="H61" s="1">
        <v>1</v>
      </c>
      <c r="I61" s="1">
        <v>1</v>
      </c>
      <c r="J61" s="1">
        <f>R61*F61</f>
        <v>0</v>
      </c>
      <c r="K61" s="1">
        <f>R61*G61</f>
        <v>0</v>
      </c>
      <c r="L61" s="1">
        <f>R61*I61</f>
        <v>0</v>
      </c>
      <c r="M61" s="1">
        <f>R61*H61</f>
        <v>0</v>
      </c>
      <c r="N61" s="1">
        <f t="shared" ref="N61:O63" si="19">IF(C61&lt;0,0,C61)</f>
        <v>0</v>
      </c>
      <c r="O61" s="1">
        <f t="shared" si="19"/>
        <v>0</v>
      </c>
      <c r="P61" s="1"/>
      <c r="Q61" s="1"/>
      <c r="R61" s="1">
        <f>N61+O61</f>
        <v>0</v>
      </c>
    </row>
    <row r="62" spans="2:35" ht="15" x14ac:dyDescent="0.25">
      <c r="B62" s="1" t="s">
        <v>29</v>
      </c>
      <c r="C62" s="1">
        <f>IF(X6="Insjö",C7,0)</f>
        <v>0</v>
      </c>
      <c r="D62" s="1">
        <f>IF(X6="Insjö",D7,0)</f>
        <v>0</v>
      </c>
      <c r="F62" s="1">
        <v>1</v>
      </c>
      <c r="G62" s="2"/>
      <c r="H62" s="1">
        <v>1</v>
      </c>
      <c r="I62" s="1">
        <v>1</v>
      </c>
      <c r="J62" s="1">
        <f>R62*F62</f>
        <v>0</v>
      </c>
      <c r="K62" s="1">
        <f>R62*G62</f>
        <v>0</v>
      </c>
      <c r="L62" s="1">
        <f>R62*I62</f>
        <v>0</v>
      </c>
      <c r="M62" s="1">
        <f>R62*H62</f>
        <v>0</v>
      </c>
      <c r="N62" s="1">
        <f t="shared" si="19"/>
        <v>0</v>
      </c>
      <c r="O62" s="1">
        <f t="shared" si="19"/>
        <v>0</v>
      </c>
      <c r="P62" s="1"/>
      <c r="Q62" s="1"/>
      <c r="R62" s="1">
        <f t="shared" ref="R62:R63" si="20">N62+O62</f>
        <v>0</v>
      </c>
    </row>
    <row r="63" spans="2:35" ht="15" x14ac:dyDescent="0.25">
      <c r="B63" s="1" t="s">
        <v>30</v>
      </c>
      <c r="C63" s="1">
        <f>IF(X6="Hav",C7,0)</f>
        <v>0</v>
      </c>
      <c r="D63" s="1">
        <f>IF(X6="Hav",D7,0)</f>
        <v>0</v>
      </c>
      <c r="F63" s="1">
        <v>1</v>
      </c>
      <c r="G63" s="2"/>
      <c r="H63" s="1">
        <v>1</v>
      </c>
      <c r="I63" s="1">
        <v>1</v>
      </c>
      <c r="J63" s="1">
        <f>R63*F63</f>
        <v>0</v>
      </c>
      <c r="K63" s="1">
        <f>R63*G63</f>
        <v>0</v>
      </c>
      <c r="L63" s="1">
        <f>R63*I63</f>
        <v>0</v>
      </c>
      <c r="M63" s="1">
        <f>R63*H63</f>
        <v>0</v>
      </c>
      <c r="N63" s="1">
        <f t="shared" si="19"/>
        <v>0</v>
      </c>
      <c r="O63" s="1">
        <f t="shared" si="19"/>
        <v>0</v>
      </c>
      <c r="P63" s="1"/>
      <c r="Q63" s="1"/>
      <c r="R63" s="1">
        <f t="shared" si="20"/>
        <v>0</v>
      </c>
    </row>
  </sheetData>
  <conditionalFormatting sqref="E7:E34 E36:E53 E55:E56 E58:E59">
    <cfRule type="containsText" dxfId="0" priority="1" operator="containsText" text="positiva">
      <formula>NOT(ISERROR(SEARCH("positiva",E7)))</formula>
    </cfRule>
    <cfRule type="containsText" priority="2" operator="containsText" text="positiva">
      <formula>NOT(ISERROR(SEARCH("positiva",E7)))</formula>
    </cfRule>
  </conditionalFormatting>
  <pageMargins left="0.7" right="0.7" top="0.75" bottom="0.75" header="0.3" footer="0.3"/>
  <pageSetup paperSize="9" orientation="portrait" r:id="rId1"/>
  <ignoredErrors>
    <ignoredError sqref="C7:D5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N16" sqref="AN16"/>
    </sheetView>
  </sheetViews>
  <sheetFormatPr defaultRowHeight="14.25" x14ac:dyDescent="0.2"/>
  <cols>
    <col min="1" max="1" width="20.875" customWidth="1"/>
    <col min="2" max="2" width="9.25" customWidth="1"/>
    <col min="4" max="4" width="27.75" bestFit="1" customWidth="1"/>
    <col min="5" max="5" width="12.125" bestFit="1" customWidth="1"/>
    <col min="7" max="7" width="17.375" customWidth="1"/>
    <col min="8" max="8" width="12.125" bestFit="1" customWidth="1"/>
    <col min="9" max="9" width="11.875" bestFit="1" customWidth="1"/>
  </cols>
  <sheetData>
    <row r="1" spans="1:8" x14ac:dyDescent="0.2">
      <c r="A1" t="s">
        <v>256</v>
      </c>
      <c r="B1">
        <f>IF(Fångster!R9+Fångster!R15+Fångster!R49&gt;0,1,0)</f>
        <v>0</v>
      </c>
      <c r="D1" t="s">
        <v>314</v>
      </c>
      <c r="E1" s="19" t="e">
        <f>-2.462+(-0.527*B25)+(-0.135*B26)+(0.112*B28)+(0.17*B34)+(-0.341*B35)+(0.098*B38)+(0.016*B41)+(0.161*B44)+(0.434*B36)+(0.002*B30)+(0.049*B43)</f>
        <v>#NUM!</v>
      </c>
      <c r="G1" t="s">
        <v>346</v>
      </c>
      <c r="H1" t="e">
        <f>AVERAGE(E10,E13,E16,E19,E22,E25,E28)</f>
        <v>#NUM!</v>
      </c>
    </row>
    <row r="2" spans="1:8" x14ac:dyDescent="0.2">
      <c r="A2" t="s">
        <v>253</v>
      </c>
      <c r="B2">
        <f>IF(Fångster!R51+Fångster!R52+Fångster!R53&gt;0,1,0)</f>
        <v>0</v>
      </c>
      <c r="D2" t="s">
        <v>315</v>
      </c>
      <c r="E2" s="19" t="e">
        <f>-1.432+(-0.447*B25)+(0.167*B28)+(0.031*B29)+(0.055*B34)+(-0.37*B35)+(0.083*B38)+(-0.051*B39)+(0.021*B41)+(0.394*B36)+(0.001*B30)+(0.036*B43)</f>
        <v>#NUM!</v>
      </c>
      <c r="G2" t="s">
        <v>342</v>
      </c>
      <c r="H2" t="str">
        <f>IFERROR(H1,"")</f>
        <v/>
      </c>
    </row>
    <row r="3" spans="1:8" x14ac:dyDescent="0.2">
      <c r="A3" t="s">
        <v>257</v>
      </c>
      <c r="B3">
        <f>IF(Fångster!R18+Fångster!R20+Fångster!R38&gt;0,1,0)</f>
        <v>0</v>
      </c>
      <c r="D3" t="s">
        <v>316</v>
      </c>
      <c r="E3" s="19" t="e">
        <f>1.546+(-0.202*B25)+(0.151*B26)+(0.054*B37)+(0.052*B29)+(-0.121*B34)+(-0.011*B40)+(-0.007*B41)+(-0.035*B36)+(-0.001*B30)+(-0.049*B43)</f>
        <v>#NUM!</v>
      </c>
      <c r="G3" t="s">
        <v>348</v>
      </c>
      <c r="H3" t="str">
        <f>Fångster!AL12</f>
        <v/>
      </c>
    </row>
    <row r="4" spans="1:8" x14ac:dyDescent="0.2">
      <c r="A4" t="s">
        <v>262</v>
      </c>
      <c r="B4">
        <f>IF(Fångster!R7&gt;0,1,0)</f>
        <v>0</v>
      </c>
      <c r="D4" t="s">
        <v>317</v>
      </c>
      <c r="E4" s="19" t="e">
        <f>-0.039+(-0.139*B25)+(-0.092*B26)+(0.027*B28)+(0.067*B34)+(0.033*B38)+(-0.029*B39)+(-0.006*B40)+(0.015*B41)+(-0.142*B44)+(0.169*B36)+(0.001*B30)+(0.066*B43)</f>
        <v>#NUM!</v>
      </c>
      <c r="G4" t="s">
        <v>93</v>
      </c>
      <c r="H4" t="str">
        <f>IFERROR(H3,"")</f>
        <v/>
      </c>
    </row>
    <row r="5" spans="1:8" x14ac:dyDescent="0.2">
      <c r="A5" t="s">
        <v>258</v>
      </c>
      <c r="B5">
        <f>IF(Fångster!R8&gt;0,1,0)</f>
        <v>0</v>
      </c>
      <c r="D5" t="s">
        <v>318</v>
      </c>
      <c r="E5" s="19" t="e">
        <f>5.745+(-0.172*B25)+(0.124*B26)+(0.062*B37)+(-0.048*B27)+(-0.152*B34)+(0.069*B35)+(-0.012*B40)+(-0.012*B41)+(-0.093*B44)+(-0.053*B36)+(-0.001*B30)+(-0.049*B43)</f>
        <v>#NUM!</v>
      </c>
      <c r="G5" t="s">
        <v>347</v>
      </c>
      <c r="H5" t="str">
        <f>IF(H4="",H10,IF(H2="",H15,IF(H4&gt;0.467,H11,IF(AND(H4&lt;0.467,B24="Ja"),H14,IF(AND(H4&lt;0.467,H2&lt;0.25),H12,IF(AND(H4&lt;0.467,H2&gt;0.25),H13,""))))))</f>
        <v>Metadata saknades för beräkning av VIX. VIXmorf ej tillämpbart.</v>
      </c>
    </row>
    <row r="6" spans="1:8" x14ac:dyDescent="0.2">
      <c r="A6" t="s">
        <v>254</v>
      </c>
      <c r="B6" s="17">
        <f>LOG10(Fångster!X8+1)</f>
        <v>0</v>
      </c>
      <c r="D6" t="s">
        <v>319</v>
      </c>
      <c r="E6" s="19" t="e">
        <f>-1.526+(0.25*B26)+(-0.185*B37)+(0.098*B27)+(0.141*B28)+(0.104*B29)+(-0.394*B34)+(0.131*B35)+(0.067*B38)+(-0.125*B39)+(0.012*B40)+(-0.004*B30)</f>
        <v>#NUM!</v>
      </c>
    </row>
    <row r="7" spans="1:8" x14ac:dyDescent="0.2">
      <c r="A7" t="s">
        <v>255</v>
      </c>
      <c r="B7">
        <f>B1+B3+B4+B5</f>
        <v>0</v>
      </c>
      <c r="D7" t="s">
        <v>320</v>
      </c>
      <c r="E7" s="19" t="e">
        <f>-0.055+(0.451*B26)+(-0.236*B37)+(0.106*B27)+(0.074*B28)+(0.217*B29)+(-0.072*B33)+(-0.565*B34)+(0.327*B35)+(-0.115*B39)+(0.023*B40)+(0.493*B44)+(-0.217*B36)+(-0.006*B30)+(-0.121*B43)</f>
        <v>#NUM!</v>
      </c>
    </row>
    <row r="8" spans="1:8" x14ac:dyDescent="0.2">
      <c r="A8" t="s">
        <v>259</v>
      </c>
      <c r="B8">
        <f>Fångster!R12+Fångster!R10+Fångster!R37+Fångster!R25</f>
        <v>0</v>
      </c>
      <c r="D8" t="s">
        <v>321</v>
      </c>
      <c r="E8" s="17" t="e">
        <f>B23-E1</f>
        <v>#NUM!</v>
      </c>
    </row>
    <row r="9" spans="1:8" x14ac:dyDescent="0.2">
      <c r="A9" t="s">
        <v>260</v>
      </c>
      <c r="B9">
        <f>LOG10(B8+1)</f>
        <v>0</v>
      </c>
      <c r="D9" t="s">
        <v>322</v>
      </c>
      <c r="E9" t="e">
        <f>E8/0.39879</f>
        <v>#NUM!</v>
      </c>
    </row>
    <row r="10" spans="1:8" x14ac:dyDescent="0.2">
      <c r="A10" t="s">
        <v>261</v>
      </c>
      <c r="B10" t="e">
        <f>ASIN(SQRT(B9/B6))</f>
        <v>#DIV/0!</v>
      </c>
      <c r="D10" t="s">
        <v>323</v>
      </c>
      <c r="E10" t="e">
        <f>NORMSDIST(E9)</f>
        <v>#NUM!</v>
      </c>
      <c r="H10" t="s">
        <v>435</v>
      </c>
    </row>
    <row r="11" spans="1:8" x14ac:dyDescent="0.2">
      <c r="A11" t="s">
        <v>265</v>
      </c>
      <c r="B11">
        <f>IF(Fångster!R19&gt;0,1,0)</f>
        <v>0</v>
      </c>
      <c r="D11" t="s">
        <v>324</v>
      </c>
      <c r="E11" s="17" t="e">
        <f>B21-E2</f>
        <v>#NUM!</v>
      </c>
      <c r="H11" t="s">
        <v>349</v>
      </c>
    </row>
    <row r="12" spans="1:8" x14ac:dyDescent="0.2">
      <c r="A12" t="s">
        <v>263</v>
      </c>
      <c r="B12">
        <f>IF(Fångster!R24&gt;0,1,0)</f>
        <v>0</v>
      </c>
      <c r="D12" t="s">
        <v>325</v>
      </c>
      <c r="E12" t="e">
        <f>E11/0.38321</f>
        <v>#NUM!</v>
      </c>
      <c r="H12" t="s">
        <v>343</v>
      </c>
    </row>
    <row r="13" spans="1:8" x14ac:dyDescent="0.2">
      <c r="A13" t="s">
        <v>266</v>
      </c>
      <c r="B13">
        <f>IF(Fångster!R27&gt;0,1,0)</f>
        <v>0</v>
      </c>
      <c r="D13" t="s">
        <v>326</v>
      </c>
      <c r="E13" t="e">
        <f>NORMSDIST(E12)</f>
        <v>#NUM!</v>
      </c>
      <c r="H13" t="s">
        <v>344</v>
      </c>
    </row>
    <row r="14" spans="1:8" x14ac:dyDescent="0.2">
      <c r="A14" t="s">
        <v>267</v>
      </c>
      <c r="B14">
        <f>IF(Fångster!R31&gt;0,1,0)</f>
        <v>0</v>
      </c>
      <c r="D14" t="s">
        <v>327</v>
      </c>
      <c r="E14" t="e">
        <f>B9-E3</f>
        <v>#NUM!</v>
      </c>
      <c r="H14" t="s">
        <v>345</v>
      </c>
    </row>
    <row r="15" spans="1:8" x14ac:dyDescent="0.2">
      <c r="A15" t="s">
        <v>264</v>
      </c>
      <c r="B15">
        <f>IF(Fångster!R11&gt;0,1,0)</f>
        <v>0</v>
      </c>
      <c r="D15" t="s">
        <v>328</v>
      </c>
      <c r="E15" t="e">
        <f>E14/0.26003</f>
        <v>#NUM!</v>
      </c>
      <c r="H15" t="s">
        <v>436</v>
      </c>
    </row>
    <row r="16" spans="1:8" x14ac:dyDescent="0.2">
      <c r="A16" t="s">
        <v>268</v>
      </c>
      <c r="B16">
        <f>IF(Fångster!R41&gt;0,1,0)</f>
        <v>0</v>
      </c>
      <c r="D16" t="s">
        <v>329</v>
      </c>
      <c r="E16" t="e">
        <f>2*NORMSDIST(-ABS(E15))</f>
        <v>#NUM!</v>
      </c>
    </row>
    <row r="17" spans="1:8" x14ac:dyDescent="0.2">
      <c r="A17" t="s">
        <v>269</v>
      </c>
      <c r="B17">
        <f>IF(Fångster!R43&gt;0,1,0)</f>
        <v>0</v>
      </c>
      <c r="D17" t="s">
        <v>330</v>
      </c>
      <c r="E17" s="21" t="e">
        <f>B22-E4</f>
        <v>#DIV/0!</v>
      </c>
    </row>
    <row r="18" spans="1:8" x14ac:dyDescent="0.2">
      <c r="A18" t="s">
        <v>270</v>
      </c>
      <c r="B18">
        <f>IF(Fångster!R55&gt;0,1,0)</f>
        <v>0</v>
      </c>
      <c r="D18" t="s">
        <v>331</v>
      </c>
      <c r="E18" s="20" t="e">
        <f>E17/0.21298</f>
        <v>#DIV/0!</v>
      </c>
    </row>
    <row r="19" spans="1:8" x14ac:dyDescent="0.2">
      <c r="A19" t="s">
        <v>271</v>
      </c>
      <c r="B19">
        <f>IF(Fångster!R58&gt;0,1,0)</f>
        <v>0</v>
      </c>
      <c r="D19" t="s">
        <v>332</v>
      </c>
      <c r="E19" s="20" t="str">
        <f>IFERROR(NORMSDIST(E18),"")</f>
        <v/>
      </c>
    </row>
    <row r="20" spans="1:8" x14ac:dyDescent="0.2">
      <c r="A20" t="s">
        <v>272</v>
      </c>
      <c r="B20">
        <f>B1+B3+B11+B12+B13+B14+B15+B16+B17+B18+B19+B4</f>
        <v>0</v>
      </c>
      <c r="D20" t="s">
        <v>333</v>
      </c>
      <c r="E20" s="20" t="e">
        <f>B10-E5</f>
        <v>#DIV/0!</v>
      </c>
    </row>
    <row r="21" spans="1:8" x14ac:dyDescent="0.2">
      <c r="A21" t="s">
        <v>273</v>
      </c>
      <c r="B21" s="17">
        <f>LOG10(Fångster!R9+Fångster!R15+Fångster!R49+Fångster!R18+Fångster!R20+Fångster!R38+Fångster!R19+Fångster!R24+Fångster!R27+Fångster!R31+Fångster!R11+Fångster!R41+Fångster!R43+Fångster!R55+Fångster!R58+Fångster!R7+1)</f>
        <v>0</v>
      </c>
      <c r="D21" t="s">
        <v>334</v>
      </c>
      <c r="E21" s="20" t="e">
        <f>E20/0.29671</f>
        <v>#DIV/0!</v>
      </c>
    </row>
    <row r="22" spans="1:8" x14ac:dyDescent="0.2">
      <c r="A22" t="s">
        <v>274</v>
      </c>
      <c r="B22" s="17" t="e">
        <f>ASIN(SQRT(B21/B6))</f>
        <v>#DIV/0!</v>
      </c>
      <c r="D22" t="s">
        <v>335</v>
      </c>
      <c r="E22" s="21" t="str">
        <f>IFERROR(2*NORMSDIST(-ABS(E21)),"")</f>
        <v/>
      </c>
    </row>
    <row r="23" spans="1:8" x14ac:dyDescent="0.2">
      <c r="A23" t="s">
        <v>275</v>
      </c>
      <c r="B23" s="17">
        <f>LOG10(Fångster!R7+1)</f>
        <v>0</v>
      </c>
      <c r="D23" t="s">
        <v>336</v>
      </c>
      <c r="E23" s="21" t="e">
        <f>B20-E6</f>
        <v>#NUM!</v>
      </c>
    </row>
    <row r="24" spans="1:8" x14ac:dyDescent="0.2">
      <c r="A24" t="s">
        <v>276</v>
      </c>
      <c r="B24" t="str">
        <f>Fångster!X42</f>
        <v>Ja</v>
      </c>
      <c r="D24" t="s">
        <v>337</v>
      </c>
      <c r="E24" s="21" t="e">
        <f>E23/0.57203</f>
        <v>#NUM!</v>
      </c>
    </row>
    <row r="25" spans="1:8" x14ac:dyDescent="0.2">
      <c r="A25" t="s">
        <v>277</v>
      </c>
      <c r="B25" s="17" t="e">
        <f>LOG10(Metadata!C13)</f>
        <v>#NUM!</v>
      </c>
      <c r="D25" t="s">
        <v>338</v>
      </c>
      <c r="E25" s="21" t="e">
        <f>NORMSDIST(E24)</f>
        <v>#NUM!</v>
      </c>
    </row>
    <row r="26" spans="1:8" x14ac:dyDescent="0.2">
      <c r="A26" t="s">
        <v>278</v>
      </c>
      <c r="B26" s="17" t="e">
        <f>LOG10(Metadata!C24)</f>
        <v>#NUM!</v>
      </c>
      <c r="D26" t="s">
        <v>339</v>
      </c>
      <c r="E26" s="21" t="e">
        <f>B7-E7</f>
        <v>#NUM!</v>
      </c>
    </row>
    <row r="27" spans="1:8" x14ac:dyDescent="0.2">
      <c r="A27" t="s">
        <v>279</v>
      </c>
      <c r="B27">
        <f>Metadata!C10/10000</f>
        <v>0</v>
      </c>
      <c r="D27" t="s">
        <v>340</v>
      </c>
      <c r="E27" s="21" t="e">
        <f>E26/0.72381</f>
        <v>#NUM!</v>
      </c>
    </row>
    <row r="28" spans="1:8" x14ac:dyDescent="0.2">
      <c r="A28" t="s">
        <v>280</v>
      </c>
      <c r="B28">
        <f>Metadata!C11/10000</f>
        <v>0</v>
      </c>
      <c r="D28" t="s">
        <v>341</v>
      </c>
      <c r="E28" s="21" t="e">
        <f>NORMSDIST(E27)</f>
        <v>#NUM!</v>
      </c>
    </row>
    <row r="29" spans="1:8" x14ac:dyDescent="0.2">
      <c r="A29" t="s">
        <v>281</v>
      </c>
      <c r="B29" s="18">
        <f>Metadata!C26+5</f>
        <v>5</v>
      </c>
      <c r="E29" s="21"/>
      <c r="H29" s="54"/>
    </row>
    <row r="30" spans="1:8" x14ac:dyDescent="0.2">
      <c r="A30" s="1" t="s">
        <v>54</v>
      </c>
      <c r="B30" s="18">
        <f>Metadata!C18</f>
        <v>0</v>
      </c>
      <c r="E30" s="21"/>
      <c r="H30" s="53"/>
    </row>
    <row r="31" spans="1:8" x14ac:dyDescent="0.2">
      <c r="A31" t="s">
        <v>282</v>
      </c>
      <c r="B31" s="17" t="e">
        <f>LOG10(Metadata!C18)</f>
        <v>#NUM!</v>
      </c>
      <c r="E31" s="21"/>
    </row>
    <row r="32" spans="1:8" x14ac:dyDescent="0.2">
      <c r="A32" t="s">
        <v>304</v>
      </c>
      <c r="B32">
        <f>Metadata!C28</f>
        <v>0</v>
      </c>
      <c r="E32" s="21"/>
    </row>
    <row r="33" spans="1:5" x14ac:dyDescent="0.2">
      <c r="A33" t="s">
        <v>305</v>
      </c>
      <c r="B33" t="str">
        <f>IF(B32="-2 - 0",-1,IF(B32="-4 - -2",-3,IF(B32="-6 - -4",-5,IF(B32="-8 - -6",-7,IF(B32="-10 - -8",-9,IF(B32="-12 - -10",-11,IF(B32="-14 - -12",-13,IF(B32="-16 - -14",-15,IF(B32="-18 - -16",-17,"")))))))))</f>
        <v/>
      </c>
      <c r="E33" s="21"/>
    </row>
    <row r="34" spans="1:5" x14ac:dyDescent="0.2">
      <c r="A34" t="s">
        <v>306</v>
      </c>
      <c r="B34" t="str">
        <f>IF(Fångster!AC32=-9,"",Fångster!AC32)</f>
        <v/>
      </c>
      <c r="E34" s="21"/>
    </row>
    <row r="35" spans="1:5" x14ac:dyDescent="0.2">
      <c r="A35" t="s">
        <v>307</v>
      </c>
      <c r="B35" s="17" t="e">
        <f>LOG10(Metadata!C14)</f>
        <v>#NUM!</v>
      </c>
      <c r="E35" s="21"/>
    </row>
    <row r="36" spans="1:5" x14ac:dyDescent="0.2">
      <c r="A36" t="s">
        <v>308</v>
      </c>
      <c r="B36">
        <f>IF(Metadata!C15="Hav",1,IF(Metadata!C15="Insjö",1,0))</f>
        <v>0</v>
      </c>
      <c r="E36" s="21"/>
    </row>
    <row r="37" spans="1:5" x14ac:dyDescent="0.2">
      <c r="A37" s="1" t="s">
        <v>47</v>
      </c>
      <c r="B37" t="str">
        <f>Fångster!AC15</f>
        <v/>
      </c>
      <c r="E37" s="21"/>
    </row>
    <row r="38" spans="1:5" x14ac:dyDescent="0.2">
      <c r="A38" s="1" t="s">
        <v>309</v>
      </c>
      <c r="B38" s="18" t="str">
        <f>IF(AND(Metadata!C16&gt;0,Metadata!C16&lt;5),Metadata!C16,"")</f>
        <v/>
      </c>
      <c r="E38" s="21"/>
    </row>
    <row r="39" spans="1:5" x14ac:dyDescent="0.2">
      <c r="A39" s="1" t="s">
        <v>310</v>
      </c>
      <c r="B39" t="str">
        <f>Fångster!AC18</f>
        <v/>
      </c>
      <c r="E39" s="21"/>
    </row>
    <row r="40" spans="1:5" x14ac:dyDescent="0.2">
      <c r="A40" s="1" t="s">
        <v>51</v>
      </c>
      <c r="B40">
        <f>Metadata!C21</f>
        <v>0</v>
      </c>
      <c r="E40" s="21"/>
    </row>
    <row r="41" spans="1:5" x14ac:dyDescent="0.2">
      <c r="A41" s="1" t="s">
        <v>53</v>
      </c>
      <c r="B41" t="str">
        <f>Fångster!AC22</f>
        <v/>
      </c>
      <c r="E41" s="21"/>
    </row>
    <row r="42" spans="1:5" x14ac:dyDescent="0.2">
      <c r="A42" s="5" t="s">
        <v>312</v>
      </c>
      <c r="B42">
        <f>Metadata!C17</f>
        <v>0</v>
      </c>
      <c r="E42" s="21"/>
    </row>
    <row r="43" spans="1:5" x14ac:dyDescent="0.2">
      <c r="A43" s="1" t="s">
        <v>313</v>
      </c>
      <c r="B43" t="str">
        <f>IF(B42="Lugn (1)",1,IF(B42="Strömmande (2)",2,IF(B42="Stråkande (3)",3,"")))</f>
        <v/>
      </c>
      <c r="E43" s="21"/>
    </row>
    <row r="44" spans="1:5" x14ac:dyDescent="0.2">
      <c r="A44" s="1" t="s">
        <v>311</v>
      </c>
      <c r="B44" t="str">
        <f>IF(Metadata!C25="","",Metadata!C25)</f>
        <v/>
      </c>
      <c r="E44" s="21"/>
    </row>
  </sheetData>
  <pageMargins left="0.7" right="0.7" top="0.75" bottom="0.75" header="0.3" footer="0.3"/>
  <pageSetup paperSize="9" orientation="portrait" r:id="rId1"/>
  <ignoredErrors>
    <ignoredError sqref="H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ProjName xmlns="http://schemas.microsoft.com/sharepoint/v3">Moderna miljövillkor (NAP), vissa vattenkraftsanläggningar i Gullspångsälven</PVSWSDocProjName>
    <PVSWSDocAssignNr xmlns="http://schemas.microsoft.com/sharepoint/v3">10330898</PVSWSDocAssignNr>
    <PVSWSDocAssignmentResponsible xmlns="http://schemas.microsoft.com/sharepoint/v3">Stenqvist, Martin</PVSWSDocAssignmentResponsible>
    <PVSWSDocName xmlns="http://schemas.microsoft.com/sharepoint/v3">VIX-beräkning</PVSWSDocName>
    <PVSWSDocItemVersion xmlns="http://schemas.microsoft.com/sharepoint/v3">0.2</PVSWSDocItemVersion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ChangeLabel xmlns="http://schemas.microsoft.com/sharepoint/v3" xsi:nil="true"/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2022-01-12T08:08:59+00:00</PVSWSDocDate>
    <PVSWSDocAssignment xmlns="http://schemas.microsoft.com/sharepoint/v3">Moderna miljövillkor (NAP), vissa vattenkraftsanläggningar i Gullspångsälven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B3F010124781B74A9DCF5923243056F7" ma:contentTypeVersion="0" ma:contentTypeDescription="" ma:contentTypeScope="" ma:versionID="44bdf8f6582ae5f98b7821c1209d593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4d3242b97f6720febf87432b8219f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Moderna miljövillkor (NAP), vissa vattenkraftsanläggningar i Gullspångsälven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330898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1519AC-B3DD-491A-B2EA-C3C084B104A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04AD97-075F-48BC-BCC3-3F58C3E31E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D891D2-ADAF-451C-BC0A-5EFB1666F0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D908514-8753-4F46-820C-F83832266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Information</vt:lpstr>
      <vt:lpstr>Metadata</vt:lpstr>
      <vt:lpstr>Fångster</vt:lpstr>
      <vt:lpstr>VIX</vt:lpstr>
      <vt:lpstr>VIXmod1</vt:lpstr>
      <vt:lpstr>VIXmod2</vt:lpstr>
      <vt:lpstr>VIXmorf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Kinnerbäck</dc:creator>
  <cp:lastModifiedBy>Anders Kinnerbäck</cp:lastModifiedBy>
  <dcterms:created xsi:type="dcterms:W3CDTF">2015-02-24T08:34:22Z</dcterms:created>
  <dcterms:modified xsi:type="dcterms:W3CDTF">2024-10-24T14:23:32Z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0x010100F3AFF667EC9D4557811DA86F1C6D7EFB00B3F010124781B74A9DCF5923243056F7</vt:lpwstr>
  </property>
</Properties>
</file>